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85" firstSheet="10" activeTab="10"/>
  </bookViews>
  <sheets>
    <sheet name="Data" sheetId="1" state="hidden" r:id="rId1"/>
    <sheet name="KL" sheetId="2" state="hidden" r:id="rId2"/>
    <sheet name="VLBC" sheetId="3" state="hidden" r:id="rId3"/>
    <sheet name="NC" sheetId="4" state="hidden" r:id="rId4"/>
    <sheet name="MAY" sheetId="5" state="hidden" r:id="rId5"/>
    <sheet name="BuNL" sheetId="6" state="hidden" r:id="rId6"/>
    <sheet name="BuNCLM" sheetId="7" state="hidden" r:id="rId7"/>
    <sheet name="LUONGNCLM" sheetId="8" state="hidden" r:id="rId8"/>
    <sheet name="PTVUA" sheetId="9" state="hidden" r:id="rId9"/>
    <sheet name="Info" sheetId="10" state="hidden" r:id="rId10"/>
    <sheet name="Tien do thi cong" sheetId="11" r:id="rId11"/>
  </sheets>
  <definedNames>
    <definedName name="_xlnm.Print_Area" localSheetId="10">'Tien do thi cong'!$A$1:$W$29</definedName>
    <definedName name="_xlnm.Print_Titles" localSheetId="5">'BuNL'!$7:$7</definedName>
    <definedName name="_xlnm.Print_Titles" localSheetId="1">'KL'!$7:$7</definedName>
    <definedName name="_xlnm.Print_Titles" localSheetId="4">'MAY'!$7:$7</definedName>
    <definedName name="_xlnm.Print_Titles" localSheetId="3">'NC'!$6:$6</definedName>
  </definedNames>
  <calcPr fullCalcOnLoad="1" fullPrecision="0"/>
</workbook>
</file>

<file path=xl/sharedStrings.xml><?xml version="1.0" encoding="utf-8"?>
<sst xmlns="http://schemas.openxmlformats.org/spreadsheetml/2006/main" count="567" uniqueCount="322">
  <si>
    <t>không</t>
  </si>
  <si>
    <t>mươi</t>
  </si>
  <si>
    <t>một mươi</t>
  </si>
  <si>
    <t>mười</t>
  </si>
  <si>
    <t>Số quá lớn</t>
  </si>
  <si>
    <t>một</t>
  </si>
  <si>
    <t>trăm</t>
  </si>
  <si>
    <t>không mươi</t>
  </si>
  <si>
    <t>lẻ</t>
  </si>
  <si>
    <t>Âm</t>
  </si>
  <si>
    <t>hai</t>
  </si>
  <si>
    <t>ngàn</t>
  </si>
  <si>
    <t>lẻ không</t>
  </si>
  <si>
    <t xml:space="preserve"> </t>
  </si>
  <si>
    <t>đồng</t>
  </si>
  <si>
    <t>ba</t>
  </si>
  <si>
    <t>mươi năm</t>
  </si>
  <si>
    <t>mươi lăm</t>
  </si>
  <si>
    <t>Bằng chữ:</t>
  </si>
  <si>
    <t>bốn</t>
  </si>
  <si>
    <t>mười năm</t>
  </si>
  <si>
    <t>mười lăm</t>
  </si>
  <si>
    <t>năm</t>
  </si>
  <si>
    <t>triệu</t>
  </si>
  <si>
    <t>mươi một</t>
  </si>
  <si>
    <t>mươi mốt</t>
  </si>
  <si>
    <t>sáu</t>
  </si>
  <si>
    <t>mười không</t>
  </si>
  <si>
    <t>bảy</t>
  </si>
  <si>
    <t>mươi không</t>
  </si>
  <si>
    <t>tám</t>
  </si>
  <si>
    <t>tỷ</t>
  </si>
  <si>
    <t>không trăm tỷ</t>
  </si>
  <si>
    <t>chín</t>
  </si>
  <si>
    <t>không trăm triệu</t>
  </si>
  <si>
    <t>không trăm ngàn</t>
  </si>
  <si>
    <t>không trăm</t>
  </si>
  <si>
    <t>STT</t>
  </si>
  <si>
    <t>Mã hiệu</t>
  </si>
  <si>
    <t>Nội dung công việc</t>
  </si>
  <si>
    <t>Số BPGN</t>
  </si>
  <si>
    <t>Kích thước</t>
  </si>
  <si>
    <t>S.Phụ</t>
  </si>
  <si>
    <t>ĐVT</t>
  </si>
  <si>
    <t>Khối lượng</t>
  </si>
  <si>
    <t>Dài</t>
  </si>
  <si>
    <t>Rộng</t>
  </si>
  <si>
    <t>Cao</t>
  </si>
  <si>
    <t>Từng phần</t>
  </si>
  <si>
    <t>Toàn phần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</si>
  <si>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</si>
  <si>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</si>
  <si>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</si>
  <si>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</si>
  <si>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</si>
  <si>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</si>
  <si>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</si>
  <si>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</si>
  <si>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</si>
  <si>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</si>
  <si>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</si>
  <si>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MẶT ĐƯỜNG</t>
  </si>
  <si>
    <t>AA.11211</t>
  </si>
  <si>
    <t>Dọn dẹp mặt bằng</t>
  </si>
  <si>
    <r>
      <rPr>
        <sz val="12"/>
        <rFont val="Times New Roman"/>
        <family val="0"/>
      </rPr>
      <t>m</t>
    </r>
    <r>
      <rPr>
        <vertAlign val="superscript"/>
        <sz val="12"/>
        <rFont val="Times New Roman"/>
        <family val="0"/>
      </rPr>
      <t>2</t>
    </r>
  </si>
  <si>
    <t>4378</t>
  </si>
  <si>
    <t>AB.31123</t>
  </si>
  <si>
    <t>Đào nền đường bằng máy đào, đất C3</t>
  </si>
  <si>
    <r>
      <rPr>
        <sz val="12"/>
        <rFont val="Times New Roman"/>
        <family val="0"/>
      </rPr>
      <t>m</t>
    </r>
    <r>
      <rPr>
        <vertAlign val="superscript"/>
        <sz val="12"/>
        <rFont val="Times New Roman"/>
        <family val="0"/>
      </rPr>
      <t>3</t>
    </r>
  </si>
  <si>
    <t>1022,88</t>
  </si>
  <si>
    <t>AD.25121</t>
  </si>
  <si>
    <t>Cán nguyên thổ nền đường</t>
  </si>
  <si>
    <t>AD.11212</t>
  </si>
  <si>
    <t>Làm móng bằng đá mi</t>
  </si>
  <si>
    <t>3811,96</t>
  </si>
  <si>
    <t>AD.11221</t>
  </si>
  <si>
    <t>Cấp phối đá dăm loại 1</t>
  </si>
  <si>
    <t>2204,84</t>
  </si>
  <si>
    <t>AD.11211</t>
  </si>
  <si>
    <t>Cấp phối đá dăm loại 2</t>
  </si>
  <si>
    <t>AD.24213</t>
  </si>
  <si>
    <t>Tưới lớp dính bám mặt đường bằng nhựa pha dầu, lượng nhựa 1.0 kg/m2</t>
  </si>
  <si>
    <t>14698,9</t>
  </si>
  <si>
    <t>AD.24121</t>
  </si>
  <si>
    <t>Láng nhựa mặt đường 2 lớp dày 2,5cm, T/c nhựa 3,0kg/m2</t>
  </si>
  <si>
    <t>TỔ CHỨC GIAO THÔNG</t>
  </si>
  <si>
    <t>AK.91131</t>
  </si>
  <si>
    <t>Sơn kẻ đường bằng sơn dẻo nhiệt, bề dày lớp sơn 2 mm</t>
  </si>
  <si>
    <t>49,191</t>
  </si>
  <si>
    <t>AD.32431</t>
  </si>
  <si>
    <t>Sản xuất, lắp đặt biển báo phản quang, biển tam giác cạnh 70cm</t>
  </si>
  <si>
    <t>Cái</t>
  </si>
  <si>
    <t>8</t>
  </si>
  <si>
    <t>AD.32421</t>
  </si>
  <si>
    <t>Sản xuất, lắp đặt biển báo phản quang, biển tròn đk70, bát giác cạnh 25cm</t>
  </si>
  <si>
    <t>1</t>
  </si>
  <si>
    <t>AD.32411</t>
  </si>
  <si>
    <t>Sản xuất, lắp đặt biển báo phản quang, biển vuông 60x60 cm</t>
  </si>
  <si>
    <t>AD.32131</t>
  </si>
  <si>
    <t>Sản xuất, lắp đặt trụ đỡ biển báo loại 1, L=2,65m</t>
  </si>
  <si>
    <t>Sản xuất, lắp đặt trụ đỡ biển báo loại 2, L=3,2m</t>
  </si>
  <si>
    <t>AB.11413</t>
  </si>
  <si>
    <t>Đào móng cọc tiêu, trụ biển báo</t>
  </si>
  <si>
    <t>23,51</t>
  </si>
  <si>
    <t>AB.65120</t>
  </si>
  <si>
    <t>Đắp trả đất</t>
  </si>
  <si>
    <t>2,7</t>
  </si>
  <si>
    <t>AB.41433</t>
  </si>
  <si>
    <t>Vận chuyển đất, ôtô 10T tự đổ, phạm vi 1km, đất C3</t>
  </si>
  <si>
    <t>20,81</t>
  </si>
  <si>
    <t>AF.11212</t>
  </si>
  <si>
    <t>Bê tông lót móng trụ biển báo M150, đá 1x2</t>
  </si>
  <si>
    <t>0,18</t>
  </si>
  <si>
    <t>AF.11213</t>
  </si>
  <si>
    <t>Bê tông móng đỡ biển báo M200, đá 1x2</t>
  </si>
  <si>
    <t>0,72</t>
  </si>
  <si>
    <t>TT</t>
  </si>
  <si>
    <t>Bu long D20</t>
  </si>
  <si>
    <t>cái</t>
  </si>
  <si>
    <t>36</t>
  </si>
  <si>
    <t>AI.13111</t>
  </si>
  <si>
    <t>Gia công thép tấm chân trụ đỡ biển báo</t>
  </si>
  <si>
    <t>tấn</t>
  </si>
  <si>
    <t>0,0529</t>
  </si>
  <si>
    <t>AF.61311</t>
  </si>
  <si>
    <t>Gia công thép đai ĐK&lt;=10mm móng trụ biển báo, cọc tiêu</t>
  </si>
  <si>
    <t>0,6726</t>
  </si>
  <si>
    <t>AK.91211</t>
  </si>
  <si>
    <t>Sơn cọc tiêu</t>
  </si>
  <si>
    <t>178,36</t>
  </si>
  <si>
    <t>LỀ ĐẤT - TALUY</t>
  </si>
  <si>
    <t>816,82</t>
  </si>
  <si>
    <t>AC.11221</t>
  </si>
  <si>
    <t>Đóng cừ tràm, thủ công, đất C1</t>
  </si>
  <si>
    <t>m</t>
  </si>
  <si>
    <t>137753,55</t>
  </si>
  <si>
    <t>Đắp đất bằng đầm cóc, K&gt;=0,90</t>
  </si>
  <si>
    <t>4345,04</t>
  </si>
  <si>
    <t>AB.11212</t>
  </si>
  <si>
    <t>Xúc đất vào bao tải</t>
  </si>
  <si>
    <t>1910</t>
  </si>
  <si>
    <t>Cung cấp đất đắp</t>
  </si>
  <si>
    <t>2505,34</t>
  </si>
  <si>
    <t>Cung cấp bao tải đất</t>
  </si>
  <si>
    <t>31833</t>
  </si>
  <si>
    <t>Cung cấp dây buộc</t>
  </si>
  <si>
    <t>kg</t>
  </si>
  <si>
    <t>318,33</t>
  </si>
  <si>
    <t>Tên nhân công</t>
  </si>
  <si>
    <t>Đơn vị</t>
  </si>
  <si>
    <t>Lương ngày công</t>
  </si>
  <si>
    <t>Nhân công 3,0/7 (Nhóm I)</t>
  </si>
  <si>
    <t>công</t>
  </si>
  <si>
    <t>N24307</t>
  </si>
  <si>
    <t>Nhân công 3,3/7 (Nhóm I)</t>
  </si>
  <si>
    <t>N24337</t>
  </si>
  <si>
    <t>Nhân công 3,5/7 (Nhóm I)</t>
  </si>
  <si>
    <t>N24357</t>
  </si>
  <si>
    <t>Nhân công 3,7/7 (Nhóm I)</t>
  </si>
  <si>
    <t>N24377</t>
  </si>
  <si>
    <t>Nhân công 4,0/7 (Nhóm I)</t>
  </si>
  <si>
    <t>N24407</t>
  </si>
  <si>
    <t>Nhân công 4,5/7 (Nhóm I)</t>
  </si>
  <si>
    <t>N24457</t>
  </si>
  <si>
    <t>Thiết bị máy thi công</t>
  </si>
  <si>
    <t>Giá gốc</t>
  </si>
  <si>
    <t>HSĐC Máy</t>
  </si>
  <si>
    <t>Chênh lệch NL/Ca</t>
  </si>
  <si>
    <t>Chênh lệch NC/Ca</t>
  </si>
  <si>
    <t>Giá ca máy</t>
  </si>
  <si>
    <t>Đầm cóc</t>
  </si>
  <si>
    <t>ca</t>
  </si>
  <si>
    <t>M240019</t>
  </si>
  <si>
    <t>Đầm dùi 1,5 KW</t>
  </si>
  <si>
    <t>M240020</t>
  </si>
  <si>
    <t>Đầm rung tự hành 25T</t>
  </si>
  <si>
    <t>M240022</t>
  </si>
  <si>
    <t>Lò nấu sơn YHK 3A</t>
  </si>
  <si>
    <t>M240065</t>
  </si>
  <si>
    <t>Máy cắt sắt cầm tay 1,0Kw</t>
  </si>
  <si>
    <t>M240109</t>
  </si>
  <si>
    <t>Máy cắt uốn cốt thép 5KW</t>
  </si>
  <si>
    <t>M240118</t>
  </si>
  <si>
    <t>Máy đào 0,8m3</t>
  </si>
  <si>
    <t>M240073</t>
  </si>
  <si>
    <t>Máy hàn 23 KW</t>
  </si>
  <si>
    <t>M240130</t>
  </si>
  <si>
    <t>Máy khoan 2,5kw</t>
  </si>
  <si>
    <t>M240140</t>
  </si>
  <si>
    <t>Máy lu 10T</t>
  </si>
  <si>
    <t>M240155</t>
  </si>
  <si>
    <t>Máy lu 8,5T</t>
  </si>
  <si>
    <t>M240156</t>
  </si>
  <si>
    <t>Máy lu bánh lốp 16T (đầm bánh hơi)</t>
  </si>
  <si>
    <t>M240157</t>
  </si>
  <si>
    <t>Máy lu rung 25T</t>
  </si>
  <si>
    <t>M240158</t>
  </si>
  <si>
    <t>Máy mài 1,0 Kw</t>
  </si>
  <si>
    <t>M240160</t>
  </si>
  <si>
    <t>Máy mài 2,7KW</t>
  </si>
  <si>
    <t>M240161</t>
  </si>
  <si>
    <t>Máy nén khí điêzen 600m3/h</t>
  </si>
  <si>
    <t>M240167</t>
  </si>
  <si>
    <t>Máy phun nhựa đường 190CV</t>
  </si>
  <si>
    <t>M240189</t>
  </si>
  <si>
    <t>Máy rải 50-60m3/h</t>
  </si>
  <si>
    <t>M240185</t>
  </si>
  <si>
    <t>Máy san 108CV</t>
  </si>
  <si>
    <t>M240188</t>
  </si>
  <si>
    <t>Máy trộn bê tông 250l</t>
  </si>
  <si>
    <t>M240192</t>
  </si>
  <si>
    <t>Máy ủi 108CV</t>
  </si>
  <si>
    <t>M240171</t>
  </si>
  <si>
    <t>Máy ủi 140CV</t>
  </si>
  <si>
    <t>M240172</t>
  </si>
  <si>
    <t>Ô tô thùng 2,5Tấn</t>
  </si>
  <si>
    <t>M240004</t>
  </si>
  <si>
    <t>Ô tô thùng 7Tấn</t>
  </si>
  <si>
    <t>M240005</t>
  </si>
  <si>
    <t>Ô tô tự đổ 10tấn</t>
  </si>
  <si>
    <t>M240012</t>
  </si>
  <si>
    <t>Ô tô tưới nhựa 7T (máy phun nhựa đường)</t>
  </si>
  <si>
    <t>M240009</t>
  </si>
  <si>
    <t>Ô tô tưới nước 5m3</t>
  </si>
  <si>
    <t>M240010</t>
  </si>
  <si>
    <t>Thiết bị nấu nhựa</t>
  </si>
  <si>
    <t>M240246</t>
  </si>
  <si>
    <t>Thiết bị sơn kẻ vạch</t>
  </si>
  <si>
    <t>M240248</t>
  </si>
  <si>
    <t>Ghi chú:</t>
  </si>
  <si>
    <t>[8]=[5] x [6] + [7]</t>
  </si>
  <si>
    <t>Định mức hao phí nhiên liệu</t>
  </si>
  <si>
    <t>Khối lượng hao phí nhiên liệu</t>
  </si>
  <si>
    <t>Chênh lệch NL/ca</t>
  </si>
  <si>
    <t>Ref</t>
  </si>
  <si>
    <t>Diezel</t>
  </si>
  <si>
    <t>Xăng</t>
  </si>
  <si>
    <t>Điện</t>
  </si>
  <si>
    <t>Mazut</t>
  </si>
  <si>
    <t>[12]</t>
  </si>
  <si>
    <t>[13]</t>
  </si>
  <si>
    <t>[14]</t>
  </si>
  <si>
    <t>[15]</t>
  </si>
  <si>
    <t>Chênh lệch</t>
  </si>
  <si>
    <t>Đ/lít</t>
  </si>
  <si>
    <t>Đ/kwh</t>
  </si>
  <si>
    <t>Hệ số chi phí nhiên liệu phụ</t>
  </si>
  <si>
    <t>Tên công trình</t>
  </si>
  <si>
    <t>XÂY DỰNG HẠ TẦNG KHU NHÀ Ở THANH NIÊN</t>
  </si>
  <si>
    <t>Tên hạng mục</t>
  </si>
  <si>
    <t>ĐƯỜNG BỜ TÂY (ĐOẠN NỐI TỪ CẦU GIÁP QUẠ ĐẾN CUỐI TUYẾN)</t>
  </si>
  <si>
    <t>Bảng khối lượng</t>
  </si>
  <si>
    <t>BẢNG KHỐI LƯỢNG</t>
  </si>
  <si>
    <t>Bảng phân tích vật tư</t>
  </si>
  <si>
    <t>BẢNG PHÂN TÍCH VẬT TƯ DỰ THẦU</t>
  </si>
  <si>
    <t>Bảng giá vật liệu</t>
  </si>
  <si>
    <t>BẢNG GIÁ VẬT LIỆU ĐẾN HIỆN TRƯỜNG XÂY LẮP</t>
  </si>
  <si>
    <t>Bảng lương nhân công</t>
  </si>
  <si>
    <t>BẢNG LƯƠNG NHÂN CÔNG</t>
  </si>
  <si>
    <t>Bảng giá Ca máy Thiết bị thi công</t>
  </si>
  <si>
    <t>BẢNG GIÁ CA MÁY THIẾT BỊ THI CÔNG</t>
  </si>
  <si>
    <t>TỔNG HỢP CA MÁY - BÙ CHÊNH LỆCH NHIÊN LIỆU</t>
  </si>
  <si>
    <t>TỔNG HỢP CA MÁY - BÙ CHÊNH LỆCH NHÂN CÔNG ĐIỀU KHIỂN MÁY</t>
  </si>
  <si>
    <t>BẢNG TÍNH LƯƠNG NHÂN CÔNG LÁI MÁY (LƯƠNG NĂM 2006)</t>
  </si>
  <si>
    <t>BẢNG TÍNH LƯƠNG NHÂN CÔNG LÁI MÁY (LƯƠNG NĂM 2010)</t>
  </si>
  <si>
    <t>Bảng đơn giá Vữa</t>
  </si>
  <si>
    <t>PHÂN TÍCH ĐƠN GIÁ VỮA</t>
  </si>
  <si>
    <t>Bảng phân tích đơn giá dự thầu</t>
  </si>
  <si>
    <t>BẢNG PHÂN TÍCH ĐƠN GIÁ DỰ THẦU</t>
  </si>
  <si>
    <t>Bảng tính giá trị dự thầu</t>
  </si>
  <si>
    <t>BẢNG TÍNH GIÁ TRỊ DỰ THẦU</t>
  </si>
  <si>
    <t>Bảng tổng hợp giá thầu</t>
  </si>
  <si>
    <t>BẢNG TỔNG HỢP GIÁ THẦU</t>
  </si>
  <si>
    <t>Bảng dự toán</t>
  </si>
  <si>
    <t>BẢNG DỰ TOÁN XÁC ĐỊNH GIÁ THẦU</t>
  </si>
  <si>
    <t>Có in Footer hay không</t>
  </si>
  <si>
    <t>Kiểu chữ hiển thị Footer</t>
  </si>
  <si>
    <t>Canh trái, phải hay giữa khi in Footer</t>
  </si>
  <si>
    <t>Hình thức hiển thị ĐVT</t>
  </si>
  <si>
    <t>Có in phân tích Nhân công không</t>
  </si>
  <si>
    <t>Có in phân tích Ca máy không</t>
  </si>
  <si>
    <t>Có in phân tích Vật liệu khác không</t>
  </si>
  <si>
    <t>Có in phân tích Ca máy khác không</t>
  </si>
  <si>
    <t>Có in Mã đơn giá trong Bảng tiên lượng không</t>
  </si>
  <si>
    <t>Căn cứ thực hiện bù cước vận chuyển</t>
  </si>
  <si>
    <t>Căn cứ thực hiện mua sắm thiết bị</t>
  </si>
  <si>
    <t>Tự động đổi ĐVT 100ĐV  ---&gt; 1ĐV</t>
  </si>
  <si>
    <t>LOẠI DỰ TOÁN  (0=Tính bù chênh lệch, 1=THVT và áp giá vật liệu, 2=phân tích đơn giá chi tiết)</t>
  </si>
  <si>
    <t>Có tính bù chênh lệch VLK hay không</t>
  </si>
  <si>
    <t>Không phân tích chi tiết Vữa</t>
  </si>
  <si>
    <t>Cơ quan chủ quản</t>
  </si>
  <si>
    <t>Địa danh</t>
  </si>
  <si>
    <t>Tp.HCM</t>
  </si>
  <si>
    <t>Người kiểm</t>
  </si>
  <si>
    <t>Người tính</t>
  </si>
  <si>
    <t>Phòng chức danh</t>
  </si>
  <si>
    <t>BẢNG TỔNG HỢP DỰ TOÁN CÔNG TRÌNH</t>
  </si>
  <si>
    <t>Tên cơ quan</t>
  </si>
  <si>
    <t>CÔNG TY TNHH XD TM PHÚ THUẬN</t>
  </si>
  <si>
    <t>Tên cơ quan đầu tư</t>
  </si>
  <si>
    <t>CÔNG TY CP ĐẦU TƯ XÂY DỰNG XNK TM TRƯỜNG SƠN</t>
  </si>
  <si>
    <t>Tháng thông báo</t>
  </si>
  <si>
    <t>Năm thông báo</t>
  </si>
  <si>
    <t xml:space="preserve">BẢNG TIẾN ĐỘ THI CÔNG </t>
  </si>
  <si>
    <r>
      <rPr>
        <b/>
        <u val="single"/>
        <sz val="12"/>
        <color indexed="8"/>
        <rFont val="Times New Roman"/>
        <family val="0"/>
      </rPr>
      <t>Công trình</t>
    </r>
    <r>
      <rPr>
        <b/>
        <sz val="12"/>
        <color indexed="8"/>
        <rFont val="Times New Roman"/>
        <family val="0"/>
      </rPr>
      <t xml:space="preserve">: </t>
    </r>
  </si>
  <si>
    <r>
      <rPr>
        <b/>
        <u val="single"/>
        <sz val="12"/>
        <rFont val="Times New Roman"/>
        <family val="0"/>
      </rPr>
      <t>Địa điểm</t>
    </r>
    <r>
      <rPr>
        <b/>
        <sz val="12"/>
        <rFont val="Times New Roman"/>
        <family val="0"/>
      </rPr>
      <t xml:space="preserve">: </t>
    </r>
  </si>
  <si>
    <r>
      <rPr>
        <b/>
        <u val="single"/>
        <sz val="12"/>
        <rFont val="Times New Roman"/>
        <family val="0"/>
      </rPr>
      <t>Hạng mục</t>
    </r>
    <r>
      <rPr>
        <b/>
        <sz val="12"/>
        <rFont val="Times New Roman"/>
        <family val="0"/>
      </rPr>
      <t xml:space="preserve">: </t>
    </r>
  </si>
  <si>
    <t>Tiến độ thi công (ngày)</t>
  </si>
  <si>
    <t>HẠNG MỤC 1</t>
  </si>
  <si>
    <t>Công việc 1</t>
  </si>
  <si>
    <t>Công việc 2</t>
  </si>
  <si>
    <t>Công việc 3</t>
  </si>
  <si>
    <t>HẠNG MỤC 2</t>
  </si>
  <si>
    <t>Công việc 4</t>
  </si>
  <si>
    <t>Công việc 5</t>
  </si>
  <si>
    <t>Công việc 6</t>
  </si>
  <si>
    <t>HẠNG MỤC 3</t>
  </si>
  <si>
    <t>Công việc 7</t>
  </si>
  <si>
    <t>Công việc 8</t>
  </si>
  <si>
    <t>Công việc 9</t>
  </si>
  <si>
    <t>CÔNG TY TNHH XÂY DỰNG ...................</t>
  </si>
  <si>
    <t>Giám đốc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</si>
</sst>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#,##0.0000;[Red]\-#,##0.0000;\ ;"/>
    <numFmt numFmtId="178" formatCode="#,##0.00;[Red]\-#,##0.00;\ ;"/>
    <numFmt numFmtId="179" formatCode="#,###;[Red]\-#,###;\ ;"/>
    <numFmt numFmtId="180" formatCode="_(* #,##0.0000_);_(* \(#,##0.0000\);_(* &quot;-&quot;??_);_(@_)"/>
    <numFmt numFmtId="181" formatCode="##,##0.000;\-##,##0.000;\ ;"/>
  </numFmts>
  <fonts count="52"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8"/>
      <name val="Times New Roman"/>
      <family val="0"/>
    </font>
    <font>
      <b/>
      <sz val="12"/>
      <color indexed="8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3"/>
      <name val="Times New Roman"/>
      <family val="0"/>
    </font>
    <font>
      <b/>
      <sz val="12"/>
      <color indexed="10"/>
      <name val="Times New Roman"/>
      <family val="0"/>
    </font>
    <font>
      <sz val="12"/>
      <color indexed="10"/>
      <name val="Times New Roman"/>
      <family val="0"/>
    </font>
    <font>
      <sz val="12"/>
      <color indexed="8"/>
      <name val="Times New Roman"/>
      <family val="0"/>
    </font>
    <font>
      <b/>
      <sz val="14"/>
      <name val="Times New Roman"/>
      <family val="0"/>
    </font>
    <font>
      <b/>
      <sz val="10"/>
      <name val="Verdana"/>
      <family val="0"/>
    </font>
    <font>
      <b/>
      <sz val="10"/>
      <color indexed="10"/>
      <name val="Courier New"/>
      <family val="0"/>
    </font>
    <font>
      <sz val="10"/>
      <color indexed="8"/>
      <name val="Arial"/>
      <family val="0"/>
    </font>
    <font>
      <b/>
      <u val="single"/>
      <sz val="12"/>
      <color indexed="8"/>
      <name val="Times New Roman"/>
      <family val="0"/>
    </font>
    <font>
      <b/>
      <u val="single"/>
      <sz val="12"/>
      <name val="Times New Roman"/>
      <family val="0"/>
    </font>
    <font>
      <vertAlign val="superscript"/>
      <sz val="12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4" fillId="0" borderId="0">
      <alignment vertical="center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10" fillId="34" borderId="11" xfId="55" applyFont="1" applyFill="1" applyBorder="1" applyAlignment="1">
      <alignment wrapText="1"/>
      <protection/>
    </xf>
    <xf numFmtId="0" fontId="1" fillId="33" borderId="0" xfId="0" applyFont="1" applyFill="1" applyAlignment="1">
      <alignment horizontal="left" vertical="top"/>
    </xf>
    <xf numFmtId="0" fontId="10" fillId="0" borderId="11" xfId="55" applyFont="1" applyFill="1" applyBorder="1" applyAlignment="1">
      <alignment wrapText="1"/>
      <protection/>
    </xf>
    <xf numFmtId="0" fontId="10" fillId="0" borderId="11" xfId="55" applyFont="1" applyFill="1" applyBorder="1" applyAlignment="1">
      <alignment horizontal="left" vertical="top" wrapText="1"/>
      <protection/>
    </xf>
    <xf numFmtId="0" fontId="10" fillId="33" borderId="0" xfId="55" applyFont="1" applyFill="1" applyBorder="1" applyAlignment="1">
      <alignment wrapText="1"/>
      <protection/>
    </xf>
    <xf numFmtId="0" fontId="10" fillId="33" borderId="0" xfId="55" applyFont="1" applyFill="1" applyBorder="1" applyAlignment="1">
      <alignment horizontal="left" vertical="top" wrapText="1"/>
      <protection/>
    </xf>
    <xf numFmtId="0" fontId="1" fillId="0" borderId="0" xfId="0" applyFont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177" fontId="1" fillId="0" borderId="12" xfId="0" applyNumberFormat="1" applyFont="1" applyBorder="1" applyAlignment="1">
      <alignment horizontal="right" vertical="top" wrapText="1"/>
    </xf>
    <xf numFmtId="178" fontId="1" fillId="0" borderId="12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177" fontId="1" fillId="0" borderId="13" xfId="0" applyNumberFormat="1" applyFont="1" applyBorder="1" applyAlignment="1">
      <alignment horizontal="right" vertical="top" wrapText="1"/>
    </xf>
    <xf numFmtId="178" fontId="1" fillId="0" borderId="13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right" vertical="top" wrapText="1"/>
    </xf>
    <xf numFmtId="178" fontId="1" fillId="0" borderId="1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79" fontId="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179" fontId="1" fillId="0" borderId="12" xfId="0" applyNumberFormat="1" applyFont="1" applyBorder="1" applyAlignment="1">
      <alignment horizontal="right" vertical="top" wrapText="1"/>
    </xf>
    <xf numFmtId="179" fontId="1" fillId="0" borderId="13" xfId="0" applyNumberFormat="1" applyFont="1" applyBorder="1" applyAlignment="1">
      <alignment horizontal="right" vertical="top" wrapText="1"/>
    </xf>
    <xf numFmtId="179" fontId="1" fillId="0" borderId="14" xfId="0" applyNumberFormat="1" applyFont="1" applyBorder="1" applyAlignment="1">
      <alignment horizontal="right" vertical="top" wrapText="1"/>
    </xf>
    <xf numFmtId="179" fontId="1" fillId="0" borderId="12" xfId="0" applyNumberFormat="1" applyFont="1" applyBorder="1" applyAlignment="1">
      <alignment vertical="top" wrapText="1"/>
    </xf>
    <xf numFmtId="179" fontId="1" fillId="0" borderId="13" xfId="0" applyNumberFormat="1" applyFont="1" applyBorder="1" applyAlignment="1">
      <alignment vertical="top" wrapText="1"/>
    </xf>
    <xf numFmtId="179" fontId="1" fillId="0" borderId="14" xfId="0" applyNumberFormat="1" applyFont="1" applyBorder="1" applyAlignment="1">
      <alignment vertical="top" wrapText="1"/>
    </xf>
    <xf numFmtId="180" fontId="1" fillId="0" borderId="0" xfId="42" applyNumberFormat="1" applyFont="1" applyAlignment="1">
      <alignment vertical="top"/>
    </xf>
    <xf numFmtId="181" fontId="1" fillId="0" borderId="13" xfId="0" applyNumberFormat="1" applyFont="1" applyBorder="1" applyAlignment="1">
      <alignment vertical="top" wrapText="1"/>
    </xf>
    <xf numFmtId="181" fontId="1" fillId="0" borderId="14" xfId="0" applyNumberFormat="1" applyFont="1" applyBorder="1" applyAlignment="1">
      <alignment vertical="top" wrapText="1"/>
    </xf>
    <xf numFmtId="180" fontId="2" fillId="0" borderId="10" xfId="42" applyNumberFormat="1" applyFont="1" applyBorder="1" applyAlignment="1">
      <alignment horizontal="center" vertical="center" wrapText="1"/>
    </xf>
    <xf numFmtId="180" fontId="6" fillId="0" borderId="10" xfId="42" applyNumberFormat="1" applyFont="1" applyBorder="1" applyAlignment="1">
      <alignment horizontal="center" vertical="top" wrapText="1"/>
    </xf>
    <xf numFmtId="180" fontId="1" fillId="0" borderId="12" xfId="42" applyNumberFormat="1" applyFont="1" applyBorder="1" applyAlignment="1">
      <alignment vertical="top" wrapText="1"/>
    </xf>
    <xf numFmtId="180" fontId="2" fillId="0" borderId="12" xfId="42" applyNumberFormat="1" applyFont="1" applyBorder="1" applyAlignment="1">
      <alignment vertical="top" wrapText="1"/>
    </xf>
    <xf numFmtId="180" fontId="2" fillId="0" borderId="0" xfId="42" applyNumberFormat="1" applyFont="1" applyAlignment="1">
      <alignment vertical="top"/>
    </xf>
    <xf numFmtId="180" fontId="1" fillId="0" borderId="13" xfId="42" applyNumberFormat="1" applyFont="1" applyBorder="1" applyAlignment="1">
      <alignment vertical="top" wrapText="1"/>
    </xf>
    <xf numFmtId="180" fontId="2" fillId="0" borderId="13" xfId="42" applyNumberFormat="1" applyFont="1" applyBorder="1" applyAlignment="1">
      <alignment vertical="top" wrapText="1"/>
    </xf>
    <xf numFmtId="180" fontId="1" fillId="0" borderId="14" xfId="42" applyNumberFormat="1" applyFont="1" applyBorder="1" applyAlignment="1">
      <alignment vertical="top" wrapText="1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1"/>
    </xf>
    <xf numFmtId="0" fontId="1" fillId="0" borderId="12" xfId="0" applyFont="1" applyBorder="1" applyAlignment="1" quotePrefix="1">
      <alignment horizontal="center" vertical="top" wrapText="1"/>
    </xf>
    <xf numFmtId="0" fontId="1" fillId="0" borderId="12" xfId="0" applyFont="1" applyBorder="1" applyAlignment="1" quotePrefix="1">
      <alignment vertical="top" wrapText="1"/>
    </xf>
    <xf numFmtId="0" fontId="1" fillId="0" borderId="13" xfId="0" applyFont="1" applyBorder="1" applyAlignment="1" quotePrefix="1">
      <alignment horizontal="left" vertical="top" wrapText="1" indent="1"/>
    </xf>
    <xf numFmtId="0" fontId="1" fillId="0" borderId="13" xfId="0" applyFont="1" applyBorder="1" applyAlignment="1" quotePrefix="1">
      <alignment horizontal="center" vertical="top" wrapText="1"/>
    </xf>
    <xf numFmtId="0" fontId="1" fillId="0" borderId="13" xfId="0" applyFont="1" applyBorder="1" applyAlignment="1" quotePrefix="1">
      <alignment vertical="top" wrapText="1"/>
    </xf>
    <xf numFmtId="0" fontId="1" fillId="0" borderId="14" xfId="0" applyFont="1" applyBorder="1" applyAlignment="1" quotePrefix="1">
      <alignment horizontal="left" vertical="top" wrapText="1" indent="1"/>
    </xf>
    <xf numFmtId="0" fontId="1" fillId="0" borderId="14" xfId="0" applyFont="1" applyBorder="1" applyAlignment="1" quotePrefix="1">
      <alignment vertical="top" wrapText="1"/>
    </xf>
    <xf numFmtId="0" fontId="1" fillId="0" borderId="14" xfId="0" applyFont="1" applyBorder="1" applyAlignment="1" quotePrefix="1">
      <alignment horizontal="center" vertical="top" wrapText="1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80" fontId="2" fillId="0" borderId="15" xfId="42" applyNumberFormat="1" applyFont="1" applyBorder="1" applyAlignment="1">
      <alignment horizontal="center" vertical="center" wrapText="1"/>
    </xf>
    <xf numFmtId="180" fontId="2" fillId="0" borderId="17" xfId="42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top" wrapText="1"/>
    </xf>
    <xf numFmtId="0" fontId="3" fillId="35" borderId="0" xfId="0" applyFont="1" applyFill="1" applyAlignment="1">
      <alignment horizontal="center" vertical="top"/>
    </xf>
    <xf numFmtId="0" fontId="2" fillId="35" borderId="0" xfId="0" applyFont="1" applyFill="1" applyAlignment="1">
      <alignment horizontal="center" vertical="top"/>
    </xf>
    <xf numFmtId="0" fontId="1" fillId="35" borderId="0" xfId="0" applyFont="1" applyFill="1" applyAlignment="1">
      <alignment vertical="top"/>
    </xf>
    <xf numFmtId="0" fontId="2" fillId="35" borderId="0" xfId="0" applyFont="1" applyFill="1" applyAlignment="1">
      <alignment vertical="top"/>
    </xf>
    <xf numFmtId="0" fontId="4" fillId="35" borderId="0" xfId="0" applyFont="1" applyFill="1" applyAlignment="1">
      <alignment vertical="center" wrapText="1"/>
    </xf>
    <xf numFmtId="0" fontId="4" fillId="35" borderId="0" xfId="0" applyFont="1" applyFill="1" applyAlignment="1">
      <alignment vertical="center"/>
    </xf>
    <xf numFmtId="0" fontId="2" fillId="35" borderId="0" xfId="0" applyFont="1" applyFill="1" applyAlignment="1">
      <alignment vertical="center" wrapText="1"/>
    </xf>
    <xf numFmtId="0" fontId="2" fillId="35" borderId="0" xfId="0" applyFont="1" applyFill="1" applyAlignment="1">
      <alignment vertical="center"/>
    </xf>
    <xf numFmtId="0" fontId="1" fillId="35" borderId="0" xfId="0" applyFont="1" applyFill="1" applyAlignment="1">
      <alignment horizontal="center" vertical="top"/>
    </xf>
    <xf numFmtId="0" fontId="2" fillId="35" borderId="10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3" fontId="5" fillId="35" borderId="20" xfId="0" applyNumberFormat="1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left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left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104775</xdr:rowOff>
    </xdr:from>
    <xdr:to>
      <xdr:col>5</xdr:col>
      <xdr:colOff>0</xdr:colOff>
      <xdr:row>9</xdr:row>
      <xdr:rowOff>104775</xdr:rowOff>
    </xdr:to>
    <xdr:sp>
      <xdr:nvSpPr>
        <xdr:cNvPr id="1" name="Straight Connector 9"/>
        <xdr:cNvSpPr>
          <a:spLocks/>
        </xdr:cNvSpPr>
      </xdr:nvSpPr>
      <xdr:spPr>
        <a:xfrm>
          <a:off x="3762375" y="1990725"/>
          <a:ext cx="10001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0</xdr:colOff>
      <xdr:row>13</xdr:row>
      <xdr:rowOff>104775</xdr:rowOff>
    </xdr:to>
    <xdr:sp>
      <xdr:nvSpPr>
        <xdr:cNvPr id="2" name="Straight Connector 12"/>
        <xdr:cNvSpPr>
          <a:spLocks/>
        </xdr:cNvSpPr>
      </xdr:nvSpPr>
      <xdr:spPr>
        <a:xfrm>
          <a:off x="3762375" y="2790825"/>
          <a:ext cx="10001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104775</xdr:rowOff>
    </xdr:from>
    <xdr:to>
      <xdr:col>5</xdr:col>
      <xdr:colOff>0</xdr:colOff>
      <xdr:row>17</xdr:row>
      <xdr:rowOff>104775</xdr:rowOff>
    </xdr:to>
    <xdr:sp>
      <xdr:nvSpPr>
        <xdr:cNvPr id="3" name="Straight Connector 13"/>
        <xdr:cNvSpPr>
          <a:spLocks/>
        </xdr:cNvSpPr>
      </xdr:nvSpPr>
      <xdr:spPr>
        <a:xfrm>
          <a:off x="3762375" y="3590925"/>
          <a:ext cx="10001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2" width="9.00390625" style="0" customWidth="1"/>
    <col min="3" max="3" width="20.8515625" style="0" customWidth="1"/>
    <col min="4" max="4" width="13.00390625" style="0" customWidth="1"/>
    <col min="5" max="5" width="12.00390625" style="0" customWidth="1"/>
  </cols>
  <sheetData>
    <row r="1" spans="1:5" ht="12.75">
      <c r="A1" s="53" t="s">
        <v>0</v>
      </c>
      <c r="B1" s="53" t="s">
        <v>1</v>
      </c>
      <c r="C1" s="53" t="s">
        <v>2</v>
      </c>
      <c r="D1" s="53" t="s">
        <v>3</v>
      </c>
      <c r="E1" s="54" t="s">
        <v>4</v>
      </c>
    </row>
    <row r="2" spans="1:5" ht="12.75">
      <c r="A2" s="53" t="s">
        <v>5</v>
      </c>
      <c r="B2" s="53" t="s">
        <v>6</v>
      </c>
      <c r="C2" s="53" t="s">
        <v>7</v>
      </c>
      <c r="D2" s="53" t="s">
        <v>8</v>
      </c>
      <c r="E2" s="54" t="s">
        <v>9</v>
      </c>
    </row>
    <row r="3" spans="1:5" ht="13.5">
      <c r="A3" s="53" t="s">
        <v>10</v>
      </c>
      <c r="B3" s="53" t="s">
        <v>11</v>
      </c>
      <c r="C3" s="53" t="s">
        <v>12</v>
      </c>
      <c r="D3" s="55" t="s">
        <v>13</v>
      </c>
      <c r="E3" s="54" t="s">
        <v>14</v>
      </c>
    </row>
    <row r="4" spans="1:5" ht="12.75">
      <c r="A4" s="53" t="s">
        <v>15</v>
      </c>
      <c r="B4" s="53" t="s">
        <v>1</v>
      </c>
      <c r="C4" s="53" t="s">
        <v>16</v>
      </c>
      <c r="D4" s="53" t="s">
        <v>17</v>
      </c>
      <c r="E4" s="54" t="s">
        <v>18</v>
      </c>
    </row>
    <row r="5" spans="1:4" ht="12.75">
      <c r="A5" s="53" t="s">
        <v>19</v>
      </c>
      <c r="B5" s="53" t="s">
        <v>6</v>
      </c>
      <c r="C5" s="53" t="s">
        <v>20</v>
      </c>
      <c r="D5" s="53" t="s">
        <v>21</v>
      </c>
    </row>
    <row r="6" spans="1:4" ht="12.75">
      <c r="A6" s="53" t="s">
        <v>22</v>
      </c>
      <c r="B6" s="53" t="s">
        <v>23</v>
      </c>
      <c r="C6" s="53" t="s">
        <v>24</v>
      </c>
      <c r="D6" s="53" t="s">
        <v>25</v>
      </c>
    </row>
    <row r="7" spans="1:4" ht="12.75">
      <c r="A7" s="53" t="s">
        <v>26</v>
      </c>
      <c r="B7" s="53" t="s">
        <v>1</v>
      </c>
      <c r="C7" s="53" t="s">
        <v>27</v>
      </c>
      <c r="D7" s="53" t="s">
        <v>3</v>
      </c>
    </row>
    <row r="8" spans="1:4" ht="12.75">
      <c r="A8" s="53" t="s">
        <v>28</v>
      </c>
      <c r="B8" s="53" t="s">
        <v>6</v>
      </c>
      <c r="C8" s="53" t="s">
        <v>29</v>
      </c>
      <c r="D8" s="53" t="s">
        <v>1</v>
      </c>
    </row>
    <row r="9" spans="1:3" ht="12.75">
      <c r="A9" s="53" t="s">
        <v>30</v>
      </c>
      <c r="B9" s="53" t="s">
        <v>31</v>
      </c>
      <c r="C9" s="53" t="s">
        <v>32</v>
      </c>
    </row>
    <row r="10" spans="1:3" ht="12.75">
      <c r="A10" s="53" t="s">
        <v>33</v>
      </c>
      <c r="B10" s="53" t="s">
        <v>1</v>
      </c>
      <c r="C10" s="53" t="s">
        <v>34</v>
      </c>
    </row>
    <row r="11" spans="2:3" ht="12.75">
      <c r="B11" s="53" t="s">
        <v>6</v>
      </c>
      <c r="C11" s="53" t="s">
        <v>35</v>
      </c>
    </row>
    <row r="12" spans="2:3" ht="12.75">
      <c r="B12" s="53" t="s">
        <v>11</v>
      </c>
      <c r="C12" s="53" t="s">
        <v>36</v>
      </c>
    </row>
    <row r="13" spans="2:3" ht="12.75">
      <c r="B13" s="53" t="s">
        <v>1</v>
      </c>
      <c r="C13" t="s">
        <v>13</v>
      </c>
    </row>
    <row r="14" spans="2:3" ht="12.75">
      <c r="B14" s="53" t="s">
        <v>6</v>
      </c>
      <c r="C14" t="s">
        <v>13</v>
      </c>
    </row>
    <row r="15" spans="2:3" ht="12.75">
      <c r="B15" s="53" t="s">
        <v>1</v>
      </c>
      <c r="C15" t="s">
        <v>13</v>
      </c>
    </row>
    <row r="16" spans="2:3" ht="13.5">
      <c r="B16" s="55"/>
      <c r="C16" t="s">
        <v>13</v>
      </c>
    </row>
    <row r="17" spans="2:3" ht="12.75">
      <c r="B17" s="53" t="s">
        <v>6</v>
      </c>
      <c r="C17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2"/>
  <sheetViews>
    <sheetView zoomScaleSheetLayoutView="100" zoomScalePageLayoutView="0" workbookViewId="0" topLeftCell="A1">
      <selection activeCell="A51" sqref="A51"/>
    </sheetView>
  </sheetViews>
  <sheetFormatPr defaultColWidth="9.140625" defaultRowHeight="15.75" customHeight="1"/>
  <cols>
    <col min="1" max="1" width="40.57421875" style="7" customWidth="1"/>
    <col min="2" max="2" width="44.8515625" style="8" customWidth="1"/>
    <col min="3" max="16384" width="9.140625" style="7" customWidth="1"/>
  </cols>
  <sheetData>
    <row r="1" spans="1:2" ht="15.75" customHeight="1">
      <c r="A1" s="9" t="s">
        <v>247</v>
      </c>
      <c r="B1" s="10" t="s">
        <v>248</v>
      </c>
    </row>
    <row r="2" spans="1:2" ht="15.75" customHeight="1">
      <c r="A2" s="9" t="s">
        <v>249</v>
      </c>
      <c r="B2" s="10" t="s">
        <v>250</v>
      </c>
    </row>
    <row r="3" spans="1:2" s="6" customFormat="1" ht="15.75" customHeight="1">
      <c r="A3" s="11" t="s">
        <v>251</v>
      </c>
      <c r="B3" s="12" t="s">
        <v>252</v>
      </c>
    </row>
    <row r="4" spans="1:256" ht="15.75" customHeight="1">
      <c r="A4" s="13" t="s">
        <v>253</v>
      </c>
      <c r="B4" s="14" t="s">
        <v>254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5.75" customHeight="1">
      <c r="A5" s="13" t="s">
        <v>255</v>
      </c>
      <c r="B5" s="14" t="s">
        <v>256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5.75" customHeight="1">
      <c r="A6" s="13" t="s">
        <v>257</v>
      </c>
      <c r="B6" s="14" t="s">
        <v>258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ht="15.75" customHeight="1">
      <c r="A7" s="13" t="s">
        <v>259</v>
      </c>
      <c r="B7" s="14" t="s">
        <v>260</v>
      </c>
      <c r="C7" s="13" t="s">
        <v>261</v>
      </c>
      <c r="D7" s="13" t="s">
        <v>262</v>
      </c>
      <c r="E7" s="13" t="s">
        <v>263</v>
      </c>
      <c r="F7" s="13" t="s">
        <v>264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ht="15.75" customHeight="1">
      <c r="A8" s="13" t="s">
        <v>265</v>
      </c>
      <c r="B8" s="14" t="s">
        <v>266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ht="15.75" customHeight="1">
      <c r="A9" s="13" t="s">
        <v>267</v>
      </c>
      <c r="B9" s="14" t="s">
        <v>268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ht="15.75" customHeight="1">
      <c r="A10" s="13" t="s">
        <v>269</v>
      </c>
      <c r="B10" s="14" t="s">
        <v>270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ht="15.75" customHeight="1">
      <c r="A11" s="13" t="s">
        <v>271</v>
      </c>
      <c r="B11" s="14" t="s">
        <v>272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6" customFormat="1" ht="15.75" customHeight="1">
      <c r="A12" s="15" t="s">
        <v>273</v>
      </c>
      <c r="B12" s="16" t="s">
        <v>274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" ht="15.75" customHeight="1">
      <c r="A13" s="7" t="s">
        <v>275</v>
      </c>
      <c r="B13" s="8" t="b">
        <v>1</v>
      </c>
    </row>
    <row r="14" spans="1:2" ht="15.75" customHeight="1">
      <c r="A14" s="7" t="s">
        <v>276</v>
      </c>
      <c r="B14" s="8">
        <v>2</v>
      </c>
    </row>
    <row r="15" spans="1:2" ht="15.75" customHeight="1">
      <c r="A15" s="7" t="s">
        <v>277</v>
      </c>
      <c r="B15" s="8">
        <v>3</v>
      </c>
    </row>
    <row r="16" spans="1:2" ht="15.75" customHeight="1">
      <c r="A16" s="7" t="s">
        <v>278</v>
      </c>
      <c r="B16" s="8" t="b">
        <v>0</v>
      </c>
    </row>
    <row r="17" spans="1:2" ht="15.75" customHeight="1">
      <c r="A17" s="7" t="s">
        <v>279</v>
      </c>
      <c r="B17" s="8" t="b">
        <v>1</v>
      </c>
    </row>
    <row r="18" spans="1:2" ht="15.75" customHeight="1">
      <c r="A18" s="7" t="s">
        <v>280</v>
      </c>
      <c r="B18" s="8" t="b">
        <v>1</v>
      </c>
    </row>
    <row r="19" spans="1:2" ht="15.75" customHeight="1">
      <c r="A19" s="7" t="s">
        <v>281</v>
      </c>
      <c r="B19" s="8" t="b">
        <v>1</v>
      </c>
    </row>
    <row r="20" spans="1:2" ht="15.75" customHeight="1">
      <c r="A20" s="7" t="s">
        <v>282</v>
      </c>
      <c r="B20" s="8" t="b">
        <v>1</v>
      </c>
    </row>
    <row r="21" spans="1:2" ht="15.75" customHeight="1">
      <c r="A21" s="7" t="s">
        <v>283</v>
      </c>
      <c r="B21" s="8" t="b">
        <v>1</v>
      </c>
    </row>
    <row r="22" ht="15.75" customHeight="1">
      <c r="A22" s="7" t="s">
        <v>284</v>
      </c>
    </row>
    <row r="23" ht="15.75" customHeight="1">
      <c r="A23" s="7" t="s">
        <v>285</v>
      </c>
    </row>
    <row r="24" spans="1:2" ht="15.75" customHeight="1">
      <c r="A24" s="7" t="s">
        <v>286</v>
      </c>
      <c r="B24" s="8" t="b">
        <v>1</v>
      </c>
    </row>
    <row r="25" spans="1:2" ht="47.25" customHeight="1">
      <c r="A25" s="17" t="s">
        <v>287</v>
      </c>
      <c r="B25" s="8">
        <v>1</v>
      </c>
    </row>
    <row r="26" spans="1:2" ht="15.75" customHeight="1">
      <c r="A26" s="7" t="s">
        <v>288</v>
      </c>
      <c r="B26" s="8" t="b">
        <v>0</v>
      </c>
    </row>
    <row r="27" spans="1:2" ht="15.75" customHeight="1">
      <c r="A27" s="7" t="s">
        <v>289</v>
      </c>
      <c r="B27" s="8" t="b">
        <v>0</v>
      </c>
    </row>
    <row r="28" s="6" customFormat="1" ht="15.75" customHeight="1">
      <c r="B28" s="12"/>
    </row>
    <row r="29" spans="1:2" ht="15.75" customHeight="1">
      <c r="A29" s="7" t="s">
        <v>290</v>
      </c>
      <c r="B29" s="8" t="s">
        <v>13</v>
      </c>
    </row>
    <row r="30" spans="1:2" ht="15.75" customHeight="1">
      <c r="A30" s="7" t="s">
        <v>291</v>
      </c>
      <c r="B30" s="8" t="s">
        <v>292</v>
      </c>
    </row>
    <row r="31" spans="1:2" ht="15.75" customHeight="1">
      <c r="A31" s="7" t="s">
        <v>293</v>
      </c>
      <c r="B31" s="8" t="s">
        <v>13</v>
      </c>
    </row>
    <row r="32" spans="1:2" ht="15.75" customHeight="1">
      <c r="A32" s="7" t="s">
        <v>294</v>
      </c>
      <c r="B32" s="8" t="s">
        <v>13</v>
      </c>
    </row>
    <row r="33" spans="1:2" ht="15.75" customHeight="1">
      <c r="A33" s="7" t="s">
        <v>295</v>
      </c>
      <c r="B33" s="8" t="s">
        <v>13</v>
      </c>
    </row>
    <row r="34" ht="15.75" customHeight="1" hidden="1">
      <c r="B34" s="8" t="s">
        <v>296</v>
      </c>
    </row>
    <row r="35" ht="15.75" customHeight="1" hidden="1"/>
    <row r="36" ht="15.75" customHeight="1" hidden="1"/>
    <row r="37" spans="1:2" ht="15.75" customHeight="1">
      <c r="A37" s="7" t="s">
        <v>297</v>
      </c>
      <c r="B37" s="8" t="s">
        <v>298</v>
      </c>
    </row>
    <row r="38" spans="1:2" ht="15.75" customHeight="1">
      <c r="A38" s="7" t="s">
        <v>299</v>
      </c>
      <c r="B38" s="8" t="s">
        <v>300</v>
      </c>
    </row>
    <row r="39" spans="1:2" ht="15.75" customHeight="1">
      <c r="A39" s="7" t="s">
        <v>301</v>
      </c>
      <c r="B39" s="8">
        <v>1</v>
      </c>
    </row>
    <row r="40" spans="1:2" ht="15.75" customHeight="1">
      <c r="A40" s="7" t="s">
        <v>302</v>
      </c>
      <c r="B40" s="8">
        <v>2015</v>
      </c>
    </row>
    <row r="42" spans="2:3" ht="15.75" customHeight="1">
      <c r="B42" s="8" t="b">
        <v>0</v>
      </c>
      <c r="C42" s="7" t="b">
        <v>1</v>
      </c>
    </row>
  </sheetData>
  <sheetProtection/>
  <printOptions/>
  <pageMargins left="0.75" right="0.75" top="1" bottom="1" header="0.5" footer="0.5"/>
  <pageSetup horizontalDpi="360" verticalDpi="36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29"/>
  <sheetViews>
    <sheetView tabSelected="1" zoomScale="85" zoomScaleNormal="85" zoomScaleSheetLayoutView="100" zoomScalePageLayoutView="0" workbookViewId="0" topLeftCell="A1">
      <selection activeCell="G31" sqref="G31"/>
    </sheetView>
  </sheetViews>
  <sheetFormatPr defaultColWidth="9.140625" defaultRowHeight="12.75"/>
  <cols>
    <col min="1" max="1" width="6.57421875" style="2" customWidth="1"/>
    <col min="2" max="2" width="49.8515625" style="3" customWidth="1"/>
    <col min="3" max="23" width="5.00390625" style="3" customWidth="1"/>
    <col min="24" max="16384" width="9.140625" style="3" customWidth="1"/>
  </cols>
  <sheetData>
    <row r="1" spans="1:23" ht="22.5">
      <c r="A1" s="79" t="s">
        <v>303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15.7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s="1" customFormat="1" ht="15.75">
      <c r="A3" s="82"/>
      <c r="B3" s="83"/>
      <c r="C3" s="84" t="s">
        <v>304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23" s="1" customFormat="1" ht="15.75">
      <c r="A4" s="82"/>
      <c r="B4" s="85"/>
      <c r="C4" s="86" t="s">
        <v>305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</row>
    <row r="5" spans="1:23" s="1" customFormat="1" ht="15.75">
      <c r="A5" s="82"/>
      <c r="B5" s="85"/>
      <c r="C5" s="86" t="s">
        <v>306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</row>
    <row r="6" spans="1:23" ht="15.75">
      <c r="A6" s="87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</row>
    <row r="7" spans="1:23" s="1" customFormat="1" ht="15.75" customHeight="1">
      <c r="A7" s="88" t="s">
        <v>37</v>
      </c>
      <c r="B7" s="88" t="s">
        <v>39</v>
      </c>
      <c r="C7" s="88" t="s">
        <v>307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</row>
    <row r="8" spans="1:23" s="1" customFormat="1" ht="15.75">
      <c r="A8" s="88"/>
      <c r="B8" s="88"/>
      <c r="C8" s="89">
        <v>1</v>
      </c>
      <c r="D8" s="89">
        <f>C8+1</f>
        <v>2</v>
      </c>
      <c r="E8" s="89">
        <f>D8+1</f>
        <v>3</v>
      </c>
      <c r="F8" s="89">
        <f>E8+1</f>
        <v>4</v>
      </c>
      <c r="G8" s="89">
        <f aca="true" t="shared" si="0" ref="G8:M8">F8+1</f>
        <v>5</v>
      </c>
      <c r="H8" s="89">
        <f t="shared" si="0"/>
        <v>6</v>
      </c>
      <c r="I8" s="89">
        <f t="shared" si="0"/>
        <v>7</v>
      </c>
      <c r="J8" s="89">
        <f t="shared" si="0"/>
        <v>8</v>
      </c>
      <c r="K8" s="89">
        <f t="shared" si="0"/>
        <v>9</v>
      </c>
      <c r="L8" s="89">
        <f t="shared" si="0"/>
        <v>10</v>
      </c>
      <c r="M8" s="89">
        <f t="shared" si="0"/>
        <v>11</v>
      </c>
      <c r="N8" s="89">
        <f aca="true" t="shared" si="1" ref="N8:U8">M8+1</f>
        <v>12</v>
      </c>
      <c r="O8" s="89">
        <f t="shared" si="1"/>
        <v>13</v>
      </c>
      <c r="P8" s="89">
        <f t="shared" si="1"/>
        <v>14</v>
      </c>
      <c r="Q8" s="89">
        <f t="shared" si="1"/>
        <v>15</v>
      </c>
      <c r="R8" s="89">
        <f t="shared" si="1"/>
        <v>16</v>
      </c>
      <c r="S8" s="89">
        <f t="shared" si="1"/>
        <v>17</v>
      </c>
      <c r="T8" s="89">
        <f t="shared" si="1"/>
        <v>18</v>
      </c>
      <c r="U8" s="89">
        <f t="shared" si="1"/>
        <v>19</v>
      </c>
      <c r="V8" s="89">
        <f>U8+1</f>
        <v>20</v>
      </c>
      <c r="W8" s="89">
        <f>V8+1</f>
        <v>21</v>
      </c>
    </row>
    <row r="9" spans="1:23" s="1" customFormat="1" ht="15.75">
      <c r="A9" s="90"/>
      <c r="B9" s="90" t="s">
        <v>308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</row>
    <row r="10" spans="1:23" ht="15.75">
      <c r="A10" s="92">
        <v>1</v>
      </c>
      <c r="B10" s="93" t="s">
        <v>309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1:23" ht="15.75">
      <c r="A11" s="92">
        <f>A10+1</f>
        <v>2</v>
      </c>
      <c r="B11" s="93" t="s">
        <v>310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</row>
    <row r="12" spans="1:23" ht="15.75">
      <c r="A12" s="92">
        <f>A11+1</f>
        <v>3</v>
      </c>
      <c r="B12" s="93" t="s">
        <v>311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</row>
    <row r="13" spans="1:23" ht="15.75">
      <c r="A13" s="92"/>
      <c r="B13" s="95" t="s">
        <v>312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</row>
    <row r="14" spans="1:23" ht="15.75">
      <c r="A14" s="92">
        <f>+A12+1</f>
        <v>4</v>
      </c>
      <c r="B14" s="93" t="s">
        <v>313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</row>
    <row r="15" spans="1:23" ht="15.75">
      <c r="A15" s="92">
        <f>A14+1</f>
        <v>5</v>
      </c>
      <c r="B15" s="93" t="s">
        <v>314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</row>
    <row r="16" spans="1:23" ht="15.75">
      <c r="A16" s="92">
        <f>A15+1</f>
        <v>6</v>
      </c>
      <c r="B16" s="93" t="s">
        <v>315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</row>
    <row r="17" spans="1:23" ht="15.75">
      <c r="A17" s="92"/>
      <c r="B17" s="95" t="s">
        <v>316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</row>
    <row r="18" spans="1:23" ht="15.75">
      <c r="A18" s="92">
        <f>+A16+1</f>
        <v>7</v>
      </c>
      <c r="B18" s="93" t="s">
        <v>317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</row>
    <row r="19" spans="1:23" ht="15.75">
      <c r="A19" s="92">
        <f>A18+1</f>
        <v>8</v>
      </c>
      <c r="B19" s="93" t="s">
        <v>318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</row>
    <row r="20" spans="1:23" ht="15.75">
      <c r="A20" s="96">
        <f>A19+1</f>
        <v>9</v>
      </c>
      <c r="B20" s="97" t="s">
        <v>319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</row>
    <row r="21" spans="1:23" ht="15.75">
      <c r="A21" s="87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</row>
    <row r="22" spans="1:23" ht="15.75" customHeight="1">
      <c r="A22" s="87"/>
      <c r="B22" s="81"/>
      <c r="C22" s="81"/>
      <c r="D22" s="81"/>
      <c r="E22" s="81"/>
      <c r="F22" s="81"/>
      <c r="G22" s="81"/>
      <c r="H22" s="81"/>
      <c r="I22" s="81"/>
      <c r="J22" s="81"/>
      <c r="K22" s="99" t="s">
        <v>320</v>
      </c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</row>
    <row r="23" spans="1:23" ht="15.75">
      <c r="A23" s="87"/>
      <c r="B23" s="81"/>
      <c r="C23" s="81"/>
      <c r="D23" s="81"/>
      <c r="E23" s="81"/>
      <c r="F23" s="81"/>
      <c r="G23" s="81"/>
      <c r="H23" s="81"/>
      <c r="I23" s="81"/>
      <c r="J23" s="81"/>
      <c r="K23" s="100" t="s">
        <v>321</v>
      </c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</row>
    <row r="24" spans="1:23" ht="15.75">
      <c r="A24" s="87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</row>
    <row r="25" spans="1:23" ht="15.75">
      <c r="A25" s="87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</row>
    <row r="26" spans="1:23" ht="15.75">
      <c r="A26" s="87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</row>
    <row r="27" spans="1:23" ht="15.75">
      <c r="A27" s="87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</row>
    <row r="28" spans="1:23" ht="15.75">
      <c r="A28" s="87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</row>
    <row r="29" spans="1:23" ht="15.75">
      <c r="A29" s="87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0"/>
      <c r="R29" s="81"/>
      <c r="S29" s="81"/>
      <c r="T29" s="81"/>
      <c r="U29" s="81"/>
      <c r="V29" s="81"/>
      <c r="W29" s="81"/>
    </row>
  </sheetData>
  <sheetProtection/>
  <mergeCells count="6">
    <mergeCell ref="A1:W1"/>
    <mergeCell ref="C7:W7"/>
    <mergeCell ref="K22:W22"/>
    <mergeCell ref="K23:W23"/>
    <mergeCell ref="A7:A8"/>
    <mergeCell ref="B7:B8"/>
  </mergeCells>
  <printOptions horizontalCentered="1"/>
  <pageMargins left="0.11805555555555555" right="0.11805555555555555" top="0.5506944444444445" bottom="0.5506944444444445" header="0.3145833333333333" footer="0.3145833333333333"/>
  <pageSetup fitToHeight="0" fitToWidth="1" horizontalDpi="300" verticalDpi="3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view="pageBreakPreview" zoomScaleSheetLayoutView="100" zoomScalePageLayoutView="0" workbookViewId="0" topLeftCell="A1">
      <pane ySplit="7" topLeftCell="A48" activePane="bottomLeft" state="frozen"/>
      <selection pane="topLeft" activeCell="A1" sqref="A1"/>
      <selection pane="bottomLeft" activeCell="C53" sqref="C53"/>
    </sheetView>
  </sheetViews>
  <sheetFormatPr defaultColWidth="9.140625" defaultRowHeight="12.75"/>
  <cols>
    <col min="1" max="1" width="5.140625" style="3" customWidth="1"/>
    <col min="2" max="2" width="10.7109375" style="3" customWidth="1"/>
    <col min="3" max="3" width="40.7109375" style="3" customWidth="1"/>
    <col min="4" max="4" width="7.28125" style="3" customWidth="1"/>
    <col min="5" max="9" width="8.7109375" style="3" customWidth="1"/>
    <col min="10" max="11" width="14.8515625" style="42" customWidth="1"/>
    <col min="12" max="12" width="14.00390625" style="42" customWidth="1"/>
    <col min="13" max="13" width="4.421875" style="3" customWidth="1"/>
    <col min="14" max="16384" width="9.140625" style="3" customWidth="1"/>
  </cols>
  <sheetData>
    <row r="1" spans="1:11" ht="22.5">
      <c r="A1" s="64" t="str">
        <f>Info!B3</f>
        <v>BẢNG KHỐI LƯỢNG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8.75">
      <c r="A2" s="65" t="str">
        <f>"CÔNG TRÌNH: "&amp;Info!B1</f>
        <v>CÔNG TRÌNH: XÂY DỰNG HẠ TẦNG KHU NHÀ Ở THANH NIÊN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8.75">
      <c r="A3" s="65" t="str">
        <f>"HẠNG MỤC: "&amp;Info!B2</f>
        <v>HẠNG MỤC: ĐƯỜNG BỜ TÂY (ĐOẠN NỐI TỪ CẦU GIÁP QUẠ ĐẾN CUỐI TUYẾN)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5" spans="1:11" ht="15.75">
      <c r="A5" s="74" t="s">
        <v>37</v>
      </c>
      <c r="B5" s="74" t="s">
        <v>38</v>
      </c>
      <c r="C5" s="74" t="s">
        <v>39</v>
      </c>
      <c r="D5" s="74" t="s">
        <v>40</v>
      </c>
      <c r="E5" s="66" t="s">
        <v>41</v>
      </c>
      <c r="F5" s="67"/>
      <c r="G5" s="68"/>
      <c r="H5" s="74" t="s">
        <v>42</v>
      </c>
      <c r="I5" s="74" t="s">
        <v>43</v>
      </c>
      <c r="J5" s="69" t="s">
        <v>44</v>
      </c>
      <c r="K5" s="70"/>
    </row>
    <row r="6" spans="1:11" ht="15.75">
      <c r="A6" s="75"/>
      <c r="B6" s="75"/>
      <c r="C6" s="75"/>
      <c r="D6" s="75"/>
      <c r="E6" s="5" t="s">
        <v>45</v>
      </c>
      <c r="F6" s="5" t="s">
        <v>46</v>
      </c>
      <c r="G6" s="5" t="s">
        <v>47</v>
      </c>
      <c r="H6" s="75"/>
      <c r="I6" s="75"/>
      <c r="J6" s="45" t="s">
        <v>48</v>
      </c>
      <c r="K6" s="45" t="s">
        <v>49</v>
      </c>
    </row>
    <row r="7" spans="1:11" ht="15.75">
      <c r="A7" s="18" t="s">
        <v>50</v>
      </c>
      <c r="B7" s="18" t="s">
        <v>51</v>
      </c>
      <c r="C7" s="18" t="s">
        <v>52</v>
      </c>
      <c r="D7" s="18" t="s">
        <v>53</v>
      </c>
      <c r="E7" s="18" t="s">
        <v>54</v>
      </c>
      <c r="F7" s="18" t="s">
        <v>55</v>
      </c>
      <c r="G7" s="18" t="s">
        <v>56</v>
      </c>
      <c r="H7" s="18" t="s">
        <v>57</v>
      </c>
      <c r="I7" s="18" t="s">
        <v>58</v>
      </c>
      <c r="J7" s="46" t="s">
        <v>59</v>
      </c>
      <c r="K7" s="46" t="s">
        <v>60</v>
      </c>
    </row>
    <row r="8" spans="1:11" ht="15.75">
      <c r="A8" s="71" t="s">
        <v>61</v>
      </c>
      <c r="B8" s="72"/>
      <c r="C8" s="72"/>
      <c r="D8" s="72"/>
      <c r="E8" s="72"/>
      <c r="F8" s="72"/>
      <c r="G8" s="72"/>
      <c r="H8" s="72"/>
      <c r="I8" s="72"/>
      <c r="J8" s="72"/>
      <c r="K8" s="73"/>
    </row>
    <row r="9" spans="1:13" ht="18.75">
      <c r="A9" s="20">
        <v>1</v>
      </c>
      <c r="B9" s="56" t="s">
        <v>62</v>
      </c>
      <c r="C9" s="57" t="s">
        <v>63</v>
      </c>
      <c r="D9" s="19"/>
      <c r="E9" s="19"/>
      <c r="F9" s="19"/>
      <c r="G9" s="19"/>
      <c r="H9" s="19"/>
      <c r="I9" s="56" t="s">
        <v>64</v>
      </c>
      <c r="J9" s="47"/>
      <c r="K9" s="48">
        <f>SUM(J10:J10)</f>
        <v>4378</v>
      </c>
      <c r="L9" s="49">
        <f>ROUND(SUM(L10:L10),4)</f>
        <v>43.78</v>
      </c>
      <c r="M9" s="3">
        <v>100</v>
      </c>
    </row>
    <row r="10" spans="1:12" ht="15.75">
      <c r="A10" s="23"/>
      <c r="B10" s="23"/>
      <c r="C10" s="58" t="s">
        <v>65</v>
      </c>
      <c r="D10" s="23">
        <v>1</v>
      </c>
      <c r="E10" s="43">
        <v>0</v>
      </c>
      <c r="F10" s="43">
        <v>0</v>
      </c>
      <c r="G10" s="43">
        <v>0</v>
      </c>
      <c r="H10" s="43">
        <v>0</v>
      </c>
      <c r="I10" s="23"/>
      <c r="J10" s="50">
        <f>ROUND(IF(AND(OR(D10=0,D10=1),E10=0,F10=0,G10=0,H10=0),4378,IF(E10&lt;&gt;0,E10,1)*IF(F10&lt;&gt;0,F10,1)*IF(G10&lt;&gt;0,G10,1)*IF(H10&lt;&gt;0,H10,1)*IF(D10&lt;&gt;0,D10,1)),3)</f>
        <v>4378</v>
      </c>
      <c r="K10" s="50"/>
      <c r="L10" s="42">
        <f>ROUND(IF(Info!$B$24=TRUE,J10/M9,J10),4)</f>
        <v>43.78</v>
      </c>
    </row>
    <row r="11" spans="1:13" ht="18.75">
      <c r="A11" s="24">
        <v>2</v>
      </c>
      <c r="B11" s="59" t="s">
        <v>66</v>
      </c>
      <c r="C11" s="60" t="s">
        <v>67</v>
      </c>
      <c r="D11" s="23"/>
      <c r="E11" s="23"/>
      <c r="F11" s="23"/>
      <c r="G11" s="23"/>
      <c r="H11" s="23"/>
      <c r="I11" s="59" t="s">
        <v>68</v>
      </c>
      <c r="J11" s="50"/>
      <c r="K11" s="51">
        <f>SUM(J12:J12)</f>
        <v>1022.88</v>
      </c>
      <c r="L11" s="49">
        <f>ROUND(SUM(L12:L12),4)</f>
        <v>10.2288</v>
      </c>
      <c r="M11" s="3">
        <v>100</v>
      </c>
    </row>
    <row r="12" spans="1:12" ht="15.75">
      <c r="A12" s="23"/>
      <c r="B12" s="23"/>
      <c r="C12" s="58" t="s">
        <v>69</v>
      </c>
      <c r="D12" s="23">
        <v>1</v>
      </c>
      <c r="E12" s="43">
        <v>0</v>
      </c>
      <c r="F12" s="43">
        <v>0</v>
      </c>
      <c r="G12" s="43">
        <v>0</v>
      </c>
      <c r="H12" s="43">
        <v>0</v>
      </c>
      <c r="I12" s="23"/>
      <c r="J12" s="50">
        <f>ROUND(IF(AND(OR(D12=0,D12=1),E12=0,F12=0,G12=0,H12=0),1022.88,IF(E12&lt;&gt;0,E12,1)*IF(F12&lt;&gt;0,F12,1)*IF(G12&lt;&gt;0,G12,1)*IF(H12&lt;&gt;0,H12,1)*IF(D12&lt;&gt;0,D12,1)),3)</f>
        <v>1022.88</v>
      </c>
      <c r="K12" s="50"/>
      <c r="L12" s="42">
        <f>ROUND(IF(Info!$B$24=TRUE,J12/M11,J12),4)</f>
        <v>10.2288</v>
      </c>
    </row>
    <row r="13" spans="1:13" ht="18.75">
      <c r="A13" s="24">
        <v>3</v>
      </c>
      <c r="B13" s="59" t="s">
        <v>70</v>
      </c>
      <c r="C13" s="60" t="s">
        <v>71</v>
      </c>
      <c r="D13" s="23"/>
      <c r="E13" s="23"/>
      <c r="F13" s="23"/>
      <c r="G13" s="23"/>
      <c r="H13" s="23"/>
      <c r="I13" s="59" t="s">
        <v>64</v>
      </c>
      <c r="J13" s="50"/>
      <c r="K13" s="51">
        <f>SUM(J14:J14)</f>
        <v>4378</v>
      </c>
      <c r="L13" s="49">
        <f>ROUND(SUM(L14:L14),4)</f>
        <v>43.78</v>
      </c>
      <c r="M13" s="3">
        <v>100</v>
      </c>
    </row>
    <row r="14" spans="1:12" ht="15.75">
      <c r="A14" s="23"/>
      <c r="B14" s="23"/>
      <c r="C14" s="58" t="s">
        <v>65</v>
      </c>
      <c r="D14" s="23">
        <v>1</v>
      </c>
      <c r="E14" s="43">
        <v>0</v>
      </c>
      <c r="F14" s="43">
        <v>0</v>
      </c>
      <c r="G14" s="43">
        <v>0</v>
      </c>
      <c r="H14" s="43">
        <v>0</v>
      </c>
      <c r="I14" s="23"/>
      <c r="J14" s="50">
        <f>ROUND(IF(AND(OR(D14=0,D14=1),E14=0,F14=0,G14=0,H14=0),4378,IF(E14&lt;&gt;0,E14,1)*IF(F14&lt;&gt;0,F14,1)*IF(G14&lt;&gt;0,G14,1)*IF(H14&lt;&gt;0,H14,1)*IF(D14&lt;&gt;0,D14,1)),3)</f>
        <v>4378</v>
      </c>
      <c r="K14" s="50"/>
      <c r="L14" s="42">
        <f>ROUND(IF(Info!$B$24=TRUE,J14/M13,J14),4)</f>
        <v>43.78</v>
      </c>
    </row>
    <row r="15" spans="1:13" ht="18.75">
      <c r="A15" s="24">
        <v>4</v>
      </c>
      <c r="B15" s="59" t="s">
        <v>72</v>
      </c>
      <c r="C15" s="60" t="s">
        <v>73</v>
      </c>
      <c r="D15" s="23"/>
      <c r="E15" s="23"/>
      <c r="F15" s="23"/>
      <c r="G15" s="23"/>
      <c r="H15" s="23"/>
      <c r="I15" s="59" t="s">
        <v>68</v>
      </c>
      <c r="J15" s="50"/>
      <c r="K15" s="51">
        <f>SUM(J16:J16)</f>
        <v>3811.96</v>
      </c>
      <c r="L15" s="49">
        <f>ROUND(SUM(L16:L16),4)</f>
        <v>38.1196</v>
      </c>
      <c r="M15" s="3">
        <v>100</v>
      </c>
    </row>
    <row r="16" spans="1:12" ht="15.75">
      <c r="A16" s="23"/>
      <c r="B16" s="23"/>
      <c r="C16" s="58" t="s">
        <v>74</v>
      </c>
      <c r="D16" s="23">
        <v>1</v>
      </c>
      <c r="E16" s="43">
        <v>0</v>
      </c>
      <c r="F16" s="43">
        <v>0</v>
      </c>
      <c r="G16" s="43">
        <v>0</v>
      </c>
      <c r="H16" s="43">
        <v>0</v>
      </c>
      <c r="I16" s="23"/>
      <c r="J16" s="50">
        <f>ROUND(IF(AND(OR(D16=0,D16=1),E16=0,F16=0,G16=0,H16=0),3811.96,IF(E16&lt;&gt;0,E16,1)*IF(F16&lt;&gt;0,F16,1)*IF(G16&lt;&gt;0,G16,1)*IF(H16&lt;&gt;0,H16,1)*IF(D16&lt;&gt;0,D16,1)),3)</f>
        <v>3811.96</v>
      </c>
      <c r="K16" s="50"/>
      <c r="L16" s="42">
        <f>ROUND(IF(Info!$B$24=TRUE,J16/M15,J16),4)</f>
        <v>38.1196</v>
      </c>
    </row>
    <row r="17" spans="1:13" ht="18.75">
      <c r="A17" s="24">
        <v>5</v>
      </c>
      <c r="B17" s="59" t="s">
        <v>75</v>
      </c>
      <c r="C17" s="60" t="s">
        <v>76</v>
      </c>
      <c r="D17" s="23"/>
      <c r="E17" s="23"/>
      <c r="F17" s="23"/>
      <c r="G17" s="23"/>
      <c r="H17" s="23"/>
      <c r="I17" s="59" t="s">
        <v>68</v>
      </c>
      <c r="J17" s="50"/>
      <c r="K17" s="51">
        <f>SUM(J18:J18)</f>
        <v>2204.84</v>
      </c>
      <c r="L17" s="49">
        <f>ROUND(SUM(L18:L18),4)</f>
        <v>22.0484</v>
      </c>
      <c r="M17" s="3">
        <v>100</v>
      </c>
    </row>
    <row r="18" spans="1:12" ht="15.75">
      <c r="A18" s="23"/>
      <c r="B18" s="23"/>
      <c r="C18" s="58" t="s">
        <v>77</v>
      </c>
      <c r="D18" s="23">
        <v>1</v>
      </c>
      <c r="E18" s="43">
        <v>0</v>
      </c>
      <c r="F18" s="43">
        <v>0</v>
      </c>
      <c r="G18" s="43">
        <v>0</v>
      </c>
      <c r="H18" s="43">
        <v>0</v>
      </c>
      <c r="I18" s="23"/>
      <c r="J18" s="50">
        <f>ROUND(IF(AND(OR(D18=0,D18=1),E18=0,F18=0,G18=0,H18=0),2204.84,IF(E18&lt;&gt;0,E18,1)*IF(F18&lt;&gt;0,F18,1)*IF(G18&lt;&gt;0,G18,1)*IF(H18&lt;&gt;0,H18,1)*IF(D18&lt;&gt;0,D18,1)),3)</f>
        <v>2204.84</v>
      </c>
      <c r="K18" s="50"/>
      <c r="L18" s="42">
        <f>ROUND(IF(Info!$B$24=TRUE,J18/M17,J18),4)</f>
        <v>22.0484</v>
      </c>
    </row>
    <row r="19" spans="1:13" ht="18.75">
      <c r="A19" s="24">
        <v>6</v>
      </c>
      <c r="B19" s="59" t="s">
        <v>78</v>
      </c>
      <c r="C19" s="60" t="s">
        <v>79</v>
      </c>
      <c r="D19" s="23"/>
      <c r="E19" s="23"/>
      <c r="F19" s="23"/>
      <c r="G19" s="23"/>
      <c r="H19" s="23"/>
      <c r="I19" s="59" t="s">
        <v>68</v>
      </c>
      <c r="J19" s="50"/>
      <c r="K19" s="51">
        <f>SUM(J20:J20)</f>
        <v>2204.84</v>
      </c>
      <c r="L19" s="49">
        <f>ROUND(SUM(L20:L20),4)</f>
        <v>22.0484</v>
      </c>
      <c r="M19" s="3">
        <v>100</v>
      </c>
    </row>
    <row r="20" spans="1:12" ht="15.75">
      <c r="A20" s="23"/>
      <c r="B20" s="23"/>
      <c r="C20" s="58" t="s">
        <v>77</v>
      </c>
      <c r="D20" s="23">
        <v>1</v>
      </c>
      <c r="E20" s="43">
        <v>0</v>
      </c>
      <c r="F20" s="43">
        <v>0</v>
      </c>
      <c r="G20" s="43">
        <v>0</v>
      </c>
      <c r="H20" s="43">
        <v>0</v>
      </c>
      <c r="I20" s="23"/>
      <c r="J20" s="50">
        <f>ROUND(IF(AND(OR(D20=0,D20=1),E20=0,F20=0,G20=0,H20=0),2204.84,IF(E20&lt;&gt;0,E20,1)*IF(F20&lt;&gt;0,F20,1)*IF(G20&lt;&gt;0,G20,1)*IF(H20&lt;&gt;0,H20,1)*IF(D20&lt;&gt;0,D20,1)),3)</f>
        <v>2204.84</v>
      </c>
      <c r="K20" s="50"/>
      <c r="L20" s="42">
        <f>ROUND(IF(Info!$B$24=TRUE,J20/M19,J20),4)</f>
        <v>22.0484</v>
      </c>
    </row>
    <row r="21" spans="1:13" ht="31.5">
      <c r="A21" s="24">
        <v>7</v>
      </c>
      <c r="B21" s="59" t="s">
        <v>80</v>
      </c>
      <c r="C21" s="60" t="s">
        <v>81</v>
      </c>
      <c r="D21" s="23"/>
      <c r="E21" s="23"/>
      <c r="F21" s="23"/>
      <c r="G21" s="23"/>
      <c r="H21" s="23"/>
      <c r="I21" s="59" t="s">
        <v>64</v>
      </c>
      <c r="J21" s="50"/>
      <c r="K21" s="51">
        <f aca="true" t="shared" si="0" ref="K21:K26">SUM(J22:J22)</f>
        <v>14698.9</v>
      </c>
      <c r="L21" s="49">
        <f aca="true" t="shared" si="1" ref="L21:L26">ROUND(SUM(L22:L22),4)</f>
        <v>146.989</v>
      </c>
      <c r="M21" s="3">
        <v>100</v>
      </c>
    </row>
    <row r="22" spans="1:12" ht="15.75">
      <c r="A22" s="23"/>
      <c r="B22" s="23"/>
      <c r="C22" s="58" t="s">
        <v>82</v>
      </c>
      <c r="D22" s="23">
        <v>1</v>
      </c>
      <c r="E22" s="43">
        <v>0</v>
      </c>
      <c r="F22" s="43">
        <v>0</v>
      </c>
      <c r="G22" s="43">
        <v>0</v>
      </c>
      <c r="H22" s="43">
        <v>0</v>
      </c>
      <c r="I22" s="23"/>
      <c r="J22" s="50">
        <f>ROUND(IF(AND(OR(D22=0,D22=1),E22=0,F22=0,G22=0,H22=0),14698.9,IF(E22&lt;&gt;0,E22,1)*IF(F22&lt;&gt;0,F22,1)*IF(G22&lt;&gt;0,G22,1)*IF(H22&lt;&gt;0,H22,1)*IF(D22&lt;&gt;0,D22,1)),3)</f>
        <v>14698.9</v>
      </c>
      <c r="K22" s="50"/>
      <c r="L22" s="42">
        <f>ROUND(IF(Info!$B$24=TRUE,J22/M21,J22),4)</f>
        <v>146.989</v>
      </c>
    </row>
    <row r="23" spans="1:13" ht="31.5">
      <c r="A23" s="24">
        <v>8</v>
      </c>
      <c r="B23" s="59" t="s">
        <v>83</v>
      </c>
      <c r="C23" s="60" t="s">
        <v>84</v>
      </c>
      <c r="D23" s="23"/>
      <c r="E23" s="23"/>
      <c r="F23" s="23"/>
      <c r="G23" s="23"/>
      <c r="H23" s="23"/>
      <c r="I23" s="59" t="s">
        <v>64</v>
      </c>
      <c r="J23" s="50"/>
      <c r="K23" s="51">
        <f t="shared" si="0"/>
        <v>14698.9</v>
      </c>
      <c r="L23" s="49">
        <f t="shared" si="1"/>
        <v>146.989</v>
      </c>
      <c r="M23" s="3">
        <v>100</v>
      </c>
    </row>
    <row r="24" spans="1:12" ht="15.75">
      <c r="A24" s="27"/>
      <c r="B24" s="27"/>
      <c r="C24" s="61" t="s">
        <v>82</v>
      </c>
      <c r="D24" s="27">
        <v>1</v>
      </c>
      <c r="E24" s="44">
        <v>0</v>
      </c>
      <c r="F24" s="44">
        <v>0</v>
      </c>
      <c r="G24" s="44">
        <v>0</v>
      </c>
      <c r="H24" s="44">
        <v>0</v>
      </c>
      <c r="I24" s="27"/>
      <c r="J24" s="52">
        <f>ROUND(IF(AND(OR(D24=0,D24=1),E24=0,F24=0,G24=0,H24=0),14698.9,IF(E24&lt;&gt;0,E24,1)*IF(F24&lt;&gt;0,F24,1)*IF(G24&lt;&gt;0,G24,1)*IF(H24&lt;&gt;0,H24,1)*IF(D24&lt;&gt;0,D24,1)),3)</f>
        <v>14698.9</v>
      </c>
      <c r="K24" s="52"/>
      <c r="L24" s="42">
        <f>ROUND(IF(Info!$B$24=TRUE,J24/M23,J24),4)</f>
        <v>146.989</v>
      </c>
    </row>
    <row r="25" spans="1:11" ht="15.75">
      <c r="A25" s="71" t="s">
        <v>85</v>
      </c>
      <c r="B25" s="72"/>
      <c r="C25" s="72"/>
      <c r="D25" s="72"/>
      <c r="E25" s="72"/>
      <c r="F25" s="72"/>
      <c r="G25" s="72"/>
      <c r="H25" s="72"/>
      <c r="I25" s="72"/>
      <c r="J25" s="72"/>
      <c r="K25" s="73"/>
    </row>
    <row r="26" spans="1:13" ht="31.5">
      <c r="A26" s="20">
        <f>A23+1</f>
        <v>9</v>
      </c>
      <c r="B26" s="56" t="s">
        <v>86</v>
      </c>
      <c r="C26" s="57" t="s">
        <v>87</v>
      </c>
      <c r="D26" s="19"/>
      <c r="E26" s="19"/>
      <c r="F26" s="19"/>
      <c r="G26" s="19"/>
      <c r="H26" s="19"/>
      <c r="I26" s="56" t="s">
        <v>64</v>
      </c>
      <c r="J26" s="47"/>
      <c r="K26" s="48">
        <f t="shared" si="0"/>
        <v>49.191</v>
      </c>
      <c r="L26" s="49">
        <f t="shared" si="1"/>
        <v>49.191</v>
      </c>
      <c r="M26" s="3">
        <v>1</v>
      </c>
    </row>
    <row r="27" spans="1:12" ht="15.75">
      <c r="A27" s="23"/>
      <c r="B27" s="23"/>
      <c r="C27" s="58" t="s">
        <v>88</v>
      </c>
      <c r="D27" s="23">
        <v>1</v>
      </c>
      <c r="E27" s="43">
        <v>0</v>
      </c>
      <c r="F27" s="43">
        <v>0</v>
      </c>
      <c r="G27" s="43">
        <v>0</v>
      </c>
      <c r="H27" s="43">
        <v>0</v>
      </c>
      <c r="I27" s="23"/>
      <c r="J27" s="50">
        <f>ROUND(IF(AND(OR(D27=0,D27=1),E27=0,F27=0,G27=0,H27=0),49.191,IF(E27&lt;&gt;0,E27,1)*IF(F27&lt;&gt;0,F27,1)*IF(G27&lt;&gt;0,G27,1)*IF(H27&lt;&gt;0,H27,1)*IF(D27&lt;&gt;0,D27,1)),3)</f>
        <v>49.191</v>
      </c>
      <c r="K27" s="50"/>
      <c r="L27" s="42">
        <f>ROUND(IF(Info!$B$24=TRUE,J27/M26,J27),4)</f>
        <v>49.191</v>
      </c>
    </row>
    <row r="28" spans="1:13" ht="31.5">
      <c r="A28" s="24">
        <f>A26+1</f>
        <v>10</v>
      </c>
      <c r="B28" s="59" t="s">
        <v>89</v>
      </c>
      <c r="C28" s="60" t="s">
        <v>90</v>
      </c>
      <c r="D28" s="23"/>
      <c r="E28" s="23"/>
      <c r="F28" s="23"/>
      <c r="G28" s="23"/>
      <c r="H28" s="23"/>
      <c r="I28" s="59" t="s">
        <v>91</v>
      </c>
      <c r="J28" s="50"/>
      <c r="K28" s="51">
        <f>SUM(J29:J29)</f>
        <v>8</v>
      </c>
      <c r="L28" s="49">
        <f>ROUND(SUM(L29:L29),4)</f>
        <v>8</v>
      </c>
      <c r="M28" s="3">
        <v>1</v>
      </c>
    </row>
    <row r="29" spans="1:12" ht="15.75">
      <c r="A29" s="23"/>
      <c r="B29" s="23"/>
      <c r="C29" s="58" t="s">
        <v>92</v>
      </c>
      <c r="D29" s="23">
        <v>1</v>
      </c>
      <c r="E29" s="43">
        <v>0</v>
      </c>
      <c r="F29" s="43">
        <v>0</v>
      </c>
      <c r="G29" s="43">
        <v>0</v>
      </c>
      <c r="H29" s="43">
        <v>0</v>
      </c>
      <c r="I29" s="23"/>
      <c r="J29" s="50">
        <f>ROUND(IF(AND(OR(D29=0,D29=1),E29=0,F29=0,G29=0,H29=0),8,IF(E29&lt;&gt;0,E29,1)*IF(F29&lt;&gt;0,F29,1)*IF(G29&lt;&gt;0,G29,1)*IF(H29&lt;&gt;0,H29,1)*IF(D29&lt;&gt;0,D29,1)),3)</f>
        <v>8</v>
      </c>
      <c r="K29" s="50"/>
      <c r="L29" s="42">
        <f>ROUND(IF(Info!$B$24=TRUE,J29/M28,J29),4)</f>
        <v>8</v>
      </c>
    </row>
    <row r="30" spans="1:13" ht="31.5">
      <c r="A30" s="24">
        <f>A28+1</f>
        <v>11</v>
      </c>
      <c r="B30" s="59" t="s">
        <v>93</v>
      </c>
      <c r="C30" s="60" t="s">
        <v>94</v>
      </c>
      <c r="D30" s="23"/>
      <c r="E30" s="23"/>
      <c r="F30" s="23"/>
      <c r="G30" s="23"/>
      <c r="H30" s="23"/>
      <c r="I30" s="59" t="s">
        <v>91</v>
      </c>
      <c r="J30" s="50"/>
      <c r="K30" s="51">
        <f>SUM(J31:J31)</f>
        <v>1</v>
      </c>
      <c r="L30" s="49">
        <f>ROUND(SUM(L31:L31),4)</f>
        <v>1</v>
      </c>
      <c r="M30" s="3">
        <v>1</v>
      </c>
    </row>
    <row r="31" spans="1:12" ht="15.75">
      <c r="A31" s="23"/>
      <c r="B31" s="23"/>
      <c r="C31" s="58" t="s">
        <v>95</v>
      </c>
      <c r="D31" s="23">
        <v>1</v>
      </c>
      <c r="E31" s="43">
        <v>0</v>
      </c>
      <c r="F31" s="43">
        <v>0</v>
      </c>
      <c r="G31" s="43">
        <v>0</v>
      </c>
      <c r="H31" s="43">
        <v>0</v>
      </c>
      <c r="I31" s="23"/>
      <c r="J31" s="50">
        <f>ROUND(IF(AND(OR(D31=0,D31=1),E31=0,F31=0,G31=0,H31=0),1,IF(E31&lt;&gt;0,E31,1)*IF(F31&lt;&gt;0,F31,1)*IF(G31&lt;&gt;0,G31,1)*IF(H31&lt;&gt;0,H31,1)*IF(D31&lt;&gt;0,D31,1)),3)</f>
        <v>1</v>
      </c>
      <c r="K31" s="50"/>
      <c r="L31" s="42">
        <f>ROUND(IF(Info!$B$24=TRUE,J31/M30,J31),4)</f>
        <v>1</v>
      </c>
    </row>
    <row r="32" spans="1:13" ht="31.5">
      <c r="A32" s="24">
        <f>A30+1</f>
        <v>12</v>
      </c>
      <c r="B32" s="59" t="s">
        <v>96</v>
      </c>
      <c r="C32" s="60" t="s">
        <v>97</v>
      </c>
      <c r="D32" s="23"/>
      <c r="E32" s="23"/>
      <c r="F32" s="23"/>
      <c r="G32" s="23"/>
      <c r="H32" s="23"/>
      <c r="I32" s="59" t="s">
        <v>91</v>
      </c>
      <c r="J32" s="50"/>
      <c r="K32" s="51">
        <f>SUM(J33:J33)</f>
        <v>1</v>
      </c>
      <c r="L32" s="49">
        <f>ROUND(SUM(L33:L33),4)</f>
        <v>1</v>
      </c>
      <c r="M32" s="3">
        <v>1</v>
      </c>
    </row>
    <row r="33" spans="1:12" ht="15.75">
      <c r="A33" s="23"/>
      <c r="B33" s="23"/>
      <c r="C33" s="58" t="s">
        <v>95</v>
      </c>
      <c r="D33" s="23">
        <v>1</v>
      </c>
      <c r="E33" s="43">
        <v>0</v>
      </c>
      <c r="F33" s="43">
        <v>0</v>
      </c>
      <c r="G33" s="43">
        <v>0</v>
      </c>
      <c r="H33" s="43">
        <v>0</v>
      </c>
      <c r="I33" s="23"/>
      <c r="J33" s="50">
        <f>ROUND(IF(AND(OR(D33=0,D33=1),E33=0,F33=0,G33=0,H33=0),1,IF(E33&lt;&gt;0,E33,1)*IF(F33&lt;&gt;0,F33,1)*IF(G33&lt;&gt;0,G33,1)*IF(H33&lt;&gt;0,H33,1)*IF(D33&lt;&gt;0,D33,1)),3)</f>
        <v>1</v>
      </c>
      <c r="K33" s="50"/>
      <c r="L33" s="42">
        <f>ROUND(IF(Info!$B$24=TRUE,J33/M32,J33),4)</f>
        <v>1</v>
      </c>
    </row>
    <row r="34" spans="1:13" ht="31.5">
      <c r="A34" s="24">
        <f>A32+1</f>
        <v>13</v>
      </c>
      <c r="B34" s="59" t="s">
        <v>98</v>
      </c>
      <c r="C34" s="60" t="s">
        <v>99</v>
      </c>
      <c r="D34" s="23"/>
      <c r="E34" s="23"/>
      <c r="F34" s="23"/>
      <c r="G34" s="23"/>
      <c r="H34" s="23"/>
      <c r="I34" s="59" t="s">
        <v>91</v>
      </c>
      <c r="J34" s="50"/>
      <c r="K34" s="51">
        <f>SUM(J35:J35)</f>
        <v>8</v>
      </c>
      <c r="L34" s="49">
        <f>ROUND(SUM(L35:L35),4)</f>
        <v>8</v>
      </c>
      <c r="M34" s="3">
        <v>1</v>
      </c>
    </row>
    <row r="35" spans="1:12" ht="15.75">
      <c r="A35" s="23"/>
      <c r="B35" s="23"/>
      <c r="C35" s="58" t="s">
        <v>92</v>
      </c>
      <c r="D35" s="23">
        <v>1</v>
      </c>
      <c r="E35" s="43">
        <v>0</v>
      </c>
      <c r="F35" s="43">
        <v>0</v>
      </c>
      <c r="G35" s="43">
        <v>0</v>
      </c>
      <c r="H35" s="43">
        <v>0</v>
      </c>
      <c r="I35" s="23"/>
      <c r="J35" s="50">
        <f>ROUND(IF(AND(OR(D35=0,D35=1),E35=0,F35=0,G35=0,H35=0),8,IF(E35&lt;&gt;0,E35,1)*IF(F35&lt;&gt;0,F35,1)*IF(G35&lt;&gt;0,G35,1)*IF(H35&lt;&gt;0,H35,1)*IF(D35&lt;&gt;0,D35,1)),3)</f>
        <v>8</v>
      </c>
      <c r="K35" s="50"/>
      <c r="L35" s="42">
        <f>ROUND(IF(Info!$B$24=TRUE,J35/M34,J35),4)</f>
        <v>8</v>
      </c>
    </row>
    <row r="36" spans="1:13" ht="31.5">
      <c r="A36" s="24">
        <f>A34+1</f>
        <v>14</v>
      </c>
      <c r="B36" s="59" t="s">
        <v>98</v>
      </c>
      <c r="C36" s="60" t="s">
        <v>100</v>
      </c>
      <c r="D36" s="23"/>
      <c r="E36" s="23"/>
      <c r="F36" s="23"/>
      <c r="G36" s="23"/>
      <c r="H36" s="23"/>
      <c r="I36" s="59" t="s">
        <v>91</v>
      </c>
      <c r="J36" s="50"/>
      <c r="K36" s="51">
        <f>SUM(J37:J37)</f>
        <v>1</v>
      </c>
      <c r="L36" s="49">
        <f>ROUND(SUM(L37:L37),4)</f>
        <v>1</v>
      </c>
      <c r="M36" s="3">
        <v>1</v>
      </c>
    </row>
    <row r="37" spans="1:12" ht="15.75">
      <c r="A37" s="23"/>
      <c r="B37" s="23"/>
      <c r="C37" s="58" t="s">
        <v>95</v>
      </c>
      <c r="D37" s="23">
        <v>1</v>
      </c>
      <c r="E37" s="43">
        <v>0</v>
      </c>
      <c r="F37" s="43">
        <v>0</v>
      </c>
      <c r="G37" s="43">
        <v>0</v>
      </c>
      <c r="H37" s="43">
        <v>0</v>
      </c>
      <c r="I37" s="23"/>
      <c r="J37" s="50">
        <f>ROUND(IF(AND(OR(D37=0,D37=1),E37=0,F37=0,G37=0,H37=0),1,IF(E37&lt;&gt;0,E37,1)*IF(F37&lt;&gt;0,F37,1)*IF(G37&lt;&gt;0,G37,1)*IF(H37&lt;&gt;0,H37,1)*IF(D37&lt;&gt;0,D37,1)),3)</f>
        <v>1</v>
      </c>
      <c r="K37" s="50"/>
      <c r="L37" s="42">
        <f>ROUND(IF(Info!$B$24=TRUE,J37/M36,J37),4)</f>
        <v>1</v>
      </c>
    </row>
    <row r="38" spans="1:13" ht="18.75">
      <c r="A38" s="24">
        <f>A36+1</f>
        <v>15</v>
      </c>
      <c r="B38" s="59" t="s">
        <v>101</v>
      </c>
      <c r="C38" s="60" t="s">
        <v>102</v>
      </c>
      <c r="D38" s="23"/>
      <c r="E38" s="23"/>
      <c r="F38" s="23"/>
      <c r="G38" s="23"/>
      <c r="H38" s="23"/>
      <c r="I38" s="59" t="s">
        <v>68</v>
      </c>
      <c r="J38" s="50"/>
      <c r="K38" s="51">
        <f>SUM(J39:J39)</f>
        <v>23.51</v>
      </c>
      <c r="L38" s="49">
        <f>ROUND(SUM(L39:L39),4)</f>
        <v>23.51</v>
      </c>
      <c r="M38" s="3">
        <v>1</v>
      </c>
    </row>
    <row r="39" spans="1:12" ht="15.75">
      <c r="A39" s="23"/>
      <c r="B39" s="23"/>
      <c r="C39" s="58" t="s">
        <v>103</v>
      </c>
      <c r="D39" s="23">
        <v>1</v>
      </c>
      <c r="E39" s="43">
        <v>0</v>
      </c>
      <c r="F39" s="43">
        <v>0</v>
      </c>
      <c r="G39" s="43">
        <v>0</v>
      </c>
      <c r="H39" s="43">
        <v>0</v>
      </c>
      <c r="I39" s="23"/>
      <c r="J39" s="50">
        <f>ROUND(IF(AND(OR(D39=0,D39=1),E39=0,F39=0,G39=0,H39=0),23.51,IF(E39&lt;&gt;0,E39,1)*IF(F39&lt;&gt;0,F39,1)*IF(G39&lt;&gt;0,G39,1)*IF(H39&lt;&gt;0,H39,1)*IF(D39&lt;&gt;0,D39,1)),3)</f>
        <v>23.51</v>
      </c>
      <c r="K39" s="50"/>
      <c r="L39" s="42">
        <f>ROUND(IF(Info!$B$24=TRUE,J39/M38,J39),4)</f>
        <v>23.51</v>
      </c>
    </row>
    <row r="40" spans="1:13" ht="18.75">
      <c r="A40" s="24">
        <f>A38+1</f>
        <v>16</v>
      </c>
      <c r="B40" s="59" t="s">
        <v>104</v>
      </c>
      <c r="C40" s="60" t="s">
        <v>105</v>
      </c>
      <c r="D40" s="23"/>
      <c r="E40" s="23"/>
      <c r="F40" s="23"/>
      <c r="G40" s="23"/>
      <c r="H40" s="23"/>
      <c r="I40" s="59" t="s">
        <v>68</v>
      </c>
      <c r="J40" s="50"/>
      <c r="K40" s="51">
        <f>SUM(J41:J41)</f>
        <v>2.7</v>
      </c>
      <c r="L40" s="49">
        <f>ROUND(SUM(L41:L41),4)</f>
        <v>0.027</v>
      </c>
      <c r="M40" s="3">
        <v>100</v>
      </c>
    </row>
    <row r="41" spans="1:12" ht="15.75">
      <c r="A41" s="23"/>
      <c r="B41" s="23"/>
      <c r="C41" s="58" t="s">
        <v>106</v>
      </c>
      <c r="D41" s="23">
        <v>1</v>
      </c>
      <c r="E41" s="43">
        <v>0</v>
      </c>
      <c r="F41" s="43">
        <v>0</v>
      </c>
      <c r="G41" s="43">
        <v>0</v>
      </c>
      <c r="H41" s="43">
        <v>0</v>
      </c>
      <c r="I41" s="23"/>
      <c r="J41" s="50">
        <f>ROUND(IF(AND(OR(D41=0,D41=1),E41=0,F41=0,G41=0,H41=0),2.7,IF(E41&lt;&gt;0,E41,1)*IF(F41&lt;&gt;0,F41,1)*IF(G41&lt;&gt;0,G41,1)*IF(H41&lt;&gt;0,H41,1)*IF(D41&lt;&gt;0,D41,1)),3)</f>
        <v>2.7</v>
      </c>
      <c r="K41" s="50"/>
      <c r="L41" s="42">
        <f>ROUND(IF(Info!$B$24=TRUE,J41/M40,J41),4)</f>
        <v>0.027</v>
      </c>
    </row>
    <row r="42" spans="1:13" ht="31.5">
      <c r="A42" s="24">
        <f>A40+1</f>
        <v>17</v>
      </c>
      <c r="B42" s="59" t="s">
        <v>107</v>
      </c>
      <c r="C42" s="60" t="s">
        <v>108</v>
      </c>
      <c r="D42" s="23"/>
      <c r="E42" s="23"/>
      <c r="F42" s="23"/>
      <c r="G42" s="23"/>
      <c r="H42" s="23"/>
      <c r="I42" s="59" t="s">
        <v>68</v>
      </c>
      <c r="J42" s="50"/>
      <c r="K42" s="51">
        <f>SUM(J43:J43)</f>
        <v>20.81</v>
      </c>
      <c r="L42" s="49">
        <f>ROUND(SUM(L43:L43),4)</f>
        <v>0.2081</v>
      </c>
      <c r="M42" s="3">
        <v>100</v>
      </c>
    </row>
    <row r="43" spans="1:12" ht="15.75">
      <c r="A43" s="23"/>
      <c r="B43" s="23"/>
      <c r="C43" s="58" t="s">
        <v>109</v>
      </c>
      <c r="D43" s="23">
        <v>1</v>
      </c>
      <c r="E43" s="43">
        <v>0</v>
      </c>
      <c r="F43" s="43">
        <v>0</v>
      </c>
      <c r="G43" s="43">
        <v>0</v>
      </c>
      <c r="H43" s="43">
        <v>0</v>
      </c>
      <c r="I43" s="23"/>
      <c r="J43" s="50">
        <f>ROUND(IF(AND(OR(D43=0,D43=1),E43=0,F43=0,G43=0,H43=0),20.81,IF(E43&lt;&gt;0,E43,1)*IF(F43&lt;&gt;0,F43,1)*IF(G43&lt;&gt;0,G43,1)*IF(H43&lt;&gt;0,H43,1)*IF(D43&lt;&gt;0,D43,1)),3)</f>
        <v>20.81</v>
      </c>
      <c r="K43" s="50"/>
      <c r="L43" s="42">
        <f>ROUND(IF(Info!$B$24=TRUE,J43/M42,J43),4)</f>
        <v>0.2081</v>
      </c>
    </row>
    <row r="44" spans="1:13" ht="18.75">
      <c r="A44" s="24">
        <f>A42+1</f>
        <v>18</v>
      </c>
      <c r="B44" s="59" t="s">
        <v>110</v>
      </c>
      <c r="C44" s="60" t="s">
        <v>111</v>
      </c>
      <c r="D44" s="23"/>
      <c r="E44" s="23"/>
      <c r="F44" s="23"/>
      <c r="G44" s="23"/>
      <c r="H44" s="23"/>
      <c r="I44" s="59" t="s">
        <v>68</v>
      </c>
      <c r="J44" s="50"/>
      <c r="K44" s="51">
        <f>SUM(J45:J45)</f>
        <v>0.18</v>
      </c>
      <c r="L44" s="49">
        <f>ROUND(SUM(L45:L45),4)</f>
        <v>0.18</v>
      </c>
      <c r="M44" s="3">
        <v>1</v>
      </c>
    </row>
    <row r="45" spans="1:12" ht="15.75">
      <c r="A45" s="23"/>
      <c r="B45" s="23"/>
      <c r="C45" s="58" t="s">
        <v>112</v>
      </c>
      <c r="D45" s="23">
        <v>1</v>
      </c>
      <c r="E45" s="43">
        <v>0</v>
      </c>
      <c r="F45" s="43">
        <v>0</v>
      </c>
      <c r="G45" s="43">
        <v>0</v>
      </c>
      <c r="H45" s="43">
        <v>0</v>
      </c>
      <c r="I45" s="23"/>
      <c r="J45" s="50">
        <f>ROUND(IF(AND(OR(D45=0,D45=1),E45=0,F45=0,G45=0,H45=0),0.18,IF(E45&lt;&gt;0,E45,1)*IF(F45&lt;&gt;0,F45,1)*IF(G45&lt;&gt;0,G45,1)*IF(H45&lt;&gt;0,H45,1)*IF(D45&lt;&gt;0,D45,1)),3)</f>
        <v>0.18</v>
      </c>
      <c r="K45" s="50"/>
      <c r="L45" s="42">
        <f>ROUND(IF(Info!$B$24=TRUE,J45/M44,J45),4)</f>
        <v>0.18</v>
      </c>
    </row>
    <row r="46" spans="1:13" ht="18.75">
      <c r="A46" s="24">
        <f>A44+1</f>
        <v>19</v>
      </c>
      <c r="B46" s="59" t="s">
        <v>113</v>
      </c>
      <c r="C46" s="60" t="s">
        <v>114</v>
      </c>
      <c r="D46" s="23"/>
      <c r="E46" s="23"/>
      <c r="F46" s="23"/>
      <c r="G46" s="23"/>
      <c r="H46" s="23"/>
      <c r="I46" s="59" t="s">
        <v>68</v>
      </c>
      <c r="J46" s="50"/>
      <c r="K46" s="51">
        <f>SUM(J47:J47)</f>
        <v>0.72</v>
      </c>
      <c r="L46" s="49">
        <f>ROUND(SUM(L47:L47),4)</f>
        <v>0.72</v>
      </c>
      <c r="M46" s="3">
        <v>1</v>
      </c>
    </row>
    <row r="47" spans="1:12" ht="15.75">
      <c r="A47" s="23"/>
      <c r="B47" s="23"/>
      <c r="C47" s="58" t="s">
        <v>115</v>
      </c>
      <c r="D47" s="23">
        <v>1</v>
      </c>
      <c r="E47" s="43">
        <v>0</v>
      </c>
      <c r="F47" s="43">
        <v>0</v>
      </c>
      <c r="G47" s="43">
        <v>0</v>
      </c>
      <c r="H47" s="43">
        <v>0</v>
      </c>
      <c r="I47" s="23"/>
      <c r="J47" s="50">
        <f>ROUND(IF(AND(OR(D47=0,D47=1),E47=0,F47=0,G47=0,H47=0),0.72,IF(E47&lt;&gt;0,E47,1)*IF(F47&lt;&gt;0,F47,1)*IF(G47&lt;&gt;0,G47,1)*IF(H47&lt;&gt;0,H47,1)*IF(D47&lt;&gt;0,D47,1)),3)</f>
        <v>0.72</v>
      </c>
      <c r="K47" s="50"/>
      <c r="L47" s="42">
        <f>ROUND(IF(Info!$B$24=TRUE,J47/M46,J47),4)</f>
        <v>0.72</v>
      </c>
    </row>
    <row r="48" spans="1:13" ht="15.75">
      <c r="A48" s="24">
        <f>A46+1</f>
        <v>20</v>
      </c>
      <c r="B48" s="59" t="s">
        <v>116</v>
      </c>
      <c r="C48" s="60" t="s">
        <v>117</v>
      </c>
      <c r="D48" s="23"/>
      <c r="E48" s="23"/>
      <c r="F48" s="23"/>
      <c r="G48" s="23"/>
      <c r="H48" s="23"/>
      <c r="I48" s="59" t="s">
        <v>118</v>
      </c>
      <c r="J48" s="50"/>
      <c r="K48" s="51">
        <f>SUM(J49:J49)</f>
        <v>36</v>
      </c>
      <c r="L48" s="49">
        <f>ROUND(SUM(L49:L49),4)</f>
        <v>36</v>
      </c>
      <c r="M48" s="3">
        <v>1</v>
      </c>
    </row>
    <row r="49" spans="1:12" ht="15.75">
      <c r="A49" s="23"/>
      <c r="B49" s="23"/>
      <c r="C49" s="58" t="s">
        <v>119</v>
      </c>
      <c r="D49" s="23">
        <v>1</v>
      </c>
      <c r="E49" s="43">
        <v>0</v>
      </c>
      <c r="F49" s="43">
        <v>0</v>
      </c>
      <c r="G49" s="43">
        <v>0</v>
      </c>
      <c r="H49" s="43">
        <v>0</v>
      </c>
      <c r="I49" s="23"/>
      <c r="J49" s="50">
        <f>ROUND(IF(AND(OR(D49=0,D49=1),E49=0,F49=0,G49=0,H49=0),36,IF(E49&lt;&gt;0,E49,1)*IF(F49&lt;&gt;0,F49,1)*IF(G49&lt;&gt;0,G49,1)*IF(H49&lt;&gt;0,H49,1)*IF(D49&lt;&gt;0,D49,1)),3)</f>
        <v>36</v>
      </c>
      <c r="K49" s="50"/>
      <c r="L49" s="42">
        <f>ROUND(IF(Info!$B$24=TRUE,J49/M48,J49),4)</f>
        <v>36</v>
      </c>
    </row>
    <row r="50" spans="1:13" ht="15.75">
      <c r="A50" s="24">
        <f>A48+1</f>
        <v>21</v>
      </c>
      <c r="B50" s="59" t="s">
        <v>120</v>
      </c>
      <c r="C50" s="60" t="s">
        <v>121</v>
      </c>
      <c r="D50" s="23"/>
      <c r="E50" s="23"/>
      <c r="F50" s="23"/>
      <c r="G50" s="23"/>
      <c r="H50" s="23"/>
      <c r="I50" s="59" t="s">
        <v>122</v>
      </c>
      <c r="J50" s="50"/>
      <c r="K50" s="51">
        <f>SUM(J51:J51)</f>
        <v>0.0529</v>
      </c>
      <c r="L50" s="49">
        <f>ROUND(SUM(L51:L51),4)</f>
        <v>0.0529</v>
      </c>
      <c r="M50" s="3">
        <v>1</v>
      </c>
    </row>
    <row r="51" spans="1:12" ht="15.75">
      <c r="A51" s="23"/>
      <c r="B51" s="23"/>
      <c r="C51" s="58" t="s">
        <v>123</v>
      </c>
      <c r="D51" s="23">
        <v>1</v>
      </c>
      <c r="E51" s="43">
        <v>0</v>
      </c>
      <c r="F51" s="43">
        <v>0</v>
      </c>
      <c r="G51" s="43">
        <v>0</v>
      </c>
      <c r="H51" s="43">
        <v>0</v>
      </c>
      <c r="I51" s="23"/>
      <c r="J51" s="50">
        <f>ROUND(IF(AND(OR(D51=0,D51=1),E51=0,F51=0,G51=0,H51=0),0.0529,IF(E51&lt;&gt;0,E51,1)*IF(F51&lt;&gt;0,F51,1)*IF(G51&lt;&gt;0,G51,1)*IF(H51&lt;&gt;0,H51,1)*IF(D51&lt;&gt;0,D51,1)),4)</f>
        <v>0.0529</v>
      </c>
      <c r="K51" s="50"/>
      <c r="L51" s="42">
        <f>ROUND(IF(Info!$B$24=TRUE,J51/M50,J51),4)</f>
        <v>0.0529</v>
      </c>
    </row>
    <row r="52" spans="1:13" ht="31.5">
      <c r="A52" s="24">
        <f>A50+1</f>
        <v>22</v>
      </c>
      <c r="B52" s="59" t="s">
        <v>124</v>
      </c>
      <c r="C52" s="60" t="s">
        <v>125</v>
      </c>
      <c r="D52" s="23"/>
      <c r="E52" s="23"/>
      <c r="F52" s="23"/>
      <c r="G52" s="23"/>
      <c r="H52" s="23"/>
      <c r="I52" s="59" t="s">
        <v>122</v>
      </c>
      <c r="J52" s="50"/>
      <c r="K52" s="51">
        <f aca="true" t="shared" si="2" ref="K52:K57">SUM(J53:J53)</f>
        <v>0.6726</v>
      </c>
      <c r="L52" s="49">
        <f aca="true" t="shared" si="3" ref="L52:L57">ROUND(SUM(L53:L53),4)</f>
        <v>0.6726</v>
      </c>
      <c r="M52" s="3">
        <v>1</v>
      </c>
    </row>
    <row r="53" spans="1:12" ht="15.75">
      <c r="A53" s="23"/>
      <c r="B53" s="23"/>
      <c r="C53" s="58" t="s">
        <v>126</v>
      </c>
      <c r="D53" s="23">
        <v>1</v>
      </c>
      <c r="E53" s="43">
        <v>0</v>
      </c>
      <c r="F53" s="43">
        <v>0</v>
      </c>
      <c r="G53" s="43">
        <v>0</v>
      </c>
      <c r="H53" s="43">
        <v>0</v>
      </c>
      <c r="I53" s="23"/>
      <c r="J53" s="50">
        <f>ROUND(IF(AND(OR(D53=0,D53=1),E53=0,F53=0,G53=0,H53=0),0.6726,IF(E53&lt;&gt;0,E53,1)*IF(F53&lt;&gt;0,F53,1)*IF(G53&lt;&gt;0,G53,1)*IF(H53&lt;&gt;0,H53,1)*IF(D53&lt;&gt;0,D53,1)),4)</f>
        <v>0.6726</v>
      </c>
      <c r="K53" s="50"/>
      <c r="L53" s="42">
        <f>ROUND(IF(Info!$B$24=TRUE,J53/M52,J53),4)</f>
        <v>0.6726</v>
      </c>
    </row>
    <row r="54" spans="1:13" ht="18.75">
      <c r="A54" s="24">
        <f>A52+1</f>
        <v>23</v>
      </c>
      <c r="B54" s="59" t="s">
        <v>127</v>
      </c>
      <c r="C54" s="60" t="s">
        <v>128</v>
      </c>
      <c r="D54" s="23"/>
      <c r="E54" s="23"/>
      <c r="F54" s="23"/>
      <c r="G54" s="23"/>
      <c r="H54" s="23"/>
      <c r="I54" s="59" t="s">
        <v>64</v>
      </c>
      <c r="J54" s="50"/>
      <c r="K54" s="51">
        <f t="shared" si="2"/>
        <v>178.36</v>
      </c>
      <c r="L54" s="49">
        <f t="shared" si="3"/>
        <v>178.36</v>
      </c>
      <c r="M54" s="3">
        <v>1</v>
      </c>
    </row>
    <row r="55" spans="1:12" ht="15.75">
      <c r="A55" s="27"/>
      <c r="B55" s="27"/>
      <c r="C55" s="61" t="s">
        <v>129</v>
      </c>
      <c r="D55" s="27">
        <v>1</v>
      </c>
      <c r="E55" s="44">
        <v>0</v>
      </c>
      <c r="F55" s="44">
        <v>0</v>
      </c>
      <c r="G55" s="44">
        <v>0</v>
      </c>
      <c r="H55" s="44">
        <v>0</v>
      </c>
      <c r="I55" s="27"/>
      <c r="J55" s="52">
        <f>ROUND(IF(AND(OR(D55=0,D55=1),E55=0,F55=0,G55=0,H55=0),178.36,IF(E55&lt;&gt;0,E55,1)*IF(F55&lt;&gt;0,F55,1)*IF(G55&lt;&gt;0,G55,1)*IF(H55&lt;&gt;0,H55,1)*IF(D55&lt;&gt;0,D55,1)),3)</f>
        <v>178.36</v>
      </c>
      <c r="K55" s="52"/>
      <c r="L55" s="42">
        <f>ROUND(IF(Info!$B$24=TRUE,J55/M54,J55),4)</f>
        <v>178.36</v>
      </c>
    </row>
    <row r="56" spans="1:11" ht="15.75">
      <c r="A56" s="71" t="s">
        <v>130</v>
      </c>
      <c r="B56" s="72"/>
      <c r="C56" s="72"/>
      <c r="D56" s="72"/>
      <c r="E56" s="72"/>
      <c r="F56" s="72"/>
      <c r="G56" s="72"/>
      <c r="H56" s="72"/>
      <c r="I56" s="72"/>
      <c r="J56" s="72"/>
      <c r="K56" s="73"/>
    </row>
    <row r="57" spans="1:13" ht="18.75">
      <c r="A57" s="20">
        <f>A54+1</f>
        <v>24</v>
      </c>
      <c r="B57" s="56" t="s">
        <v>66</v>
      </c>
      <c r="C57" s="57" t="s">
        <v>67</v>
      </c>
      <c r="D57" s="19"/>
      <c r="E57" s="19"/>
      <c r="F57" s="19"/>
      <c r="G57" s="19"/>
      <c r="H57" s="19"/>
      <c r="I57" s="56" t="s">
        <v>68</v>
      </c>
      <c r="J57" s="47"/>
      <c r="K57" s="48">
        <f t="shared" si="2"/>
        <v>816.82</v>
      </c>
      <c r="L57" s="49">
        <f t="shared" si="3"/>
        <v>8.1682</v>
      </c>
      <c r="M57" s="3">
        <v>100</v>
      </c>
    </row>
    <row r="58" spans="1:12" ht="15.75">
      <c r="A58" s="23"/>
      <c r="B58" s="23"/>
      <c r="C58" s="58" t="s">
        <v>131</v>
      </c>
      <c r="D58" s="23">
        <v>1</v>
      </c>
      <c r="E58" s="43">
        <v>0</v>
      </c>
      <c r="F58" s="43">
        <v>0</v>
      </c>
      <c r="G58" s="43">
        <v>0</v>
      </c>
      <c r="H58" s="43">
        <v>0</v>
      </c>
      <c r="I58" s="23"/>
      <c r="J58" s="50">
        <f>ROUND(IF(AND(OR(D58=0,D58=1),E58=0,F58=0,G58=0,H58=0),816.82,IF(E58&lt;&gt;0,E58,1)*IF(F58&lt;&gt;0,F58,1)*IF(G58&lt;&gt;0,G58,1)*IF(H58&lt;&gt;0,H58,1)*IF(D58&lt;&gt;0,D58,1)),3)</f>
        <v>816.82</v>
      </c>
      <c r="K58" s="50"/>
      <c r="L58" s="42">
        <f>ROUND(IF(Info!$B$24=TRUE,J58/M57,J58),4)</f>
        <v>8.1682</v>
      </c>
    </row>
    <row r="59" spans="1:13" ht="15.75">
      <c r="A59" s="24">
        <f>A57+1</f>
        <v>25</v>
      </c>
      <c r="B59" s="59" t="s">
        <v>132</v>
      </c>
      <c r="C59" s="60" t="s">
        <v>133</v>
      </c>
      <c r="D59" s="23"/>
      <c r="E59" s="23"/>
      <c r="F59" s="23"/>
      <c r="G59" s="23"/>
      <c r="H59" s="23"/>
      <c r="I59" s="59" t="s">
        <v>134</v>
      </c>
      <c r="J59" s="50"/>
      <c r="K59" s="51">
        <f>SUM(J60:J60)</f>
        <v>137753.55</v>
      </c>
      <c r="L59" s="49">
        <f>ROUND(SUM(L60:L60),4)</f>
        <v>1377.5355</v>
      </c>
      <c r="M59" s="3">
        <v>100</v>
      </c>
    </row>
    <row r="60" spans="1:12" ht="15.75">
      <c r="A60" s="23"/>
      <c r="B60" s="23"/>
      <c r="C60" s="58" t="s">
        <v>135</v>
      </c>
      <c r="D60" s="23">
        <v>1</v>
      </c>
      <c r="E60" s="43">
        <v>0</v>
      </c>
      <c r="F60" s="43">
        <v>0</v>
      </c>
      <c r="G60" s="43">
        <v>0</v>
      </c>
      <c r="H60" s="43">
        <v>0</v>
      </c>
      <c r="I60" s="23"/>
      <c r="J60" s="50">
        <f>ROUND(IF(AND(OR(D60=0,D60=1),E60=0,F60=0,G60=0,H60=0),137753.55,IF(E60&lt;&gt;0,E60,1)*IF(F60&lt;&gt;0,F60,1)*IF(G60&lt;&gt;0,G60,1)*IF(H60&lt;&gt;0,H60,1)*IF(D60&lt;&gt;0,D60,1)),3)</f>
        <v>137753.55</v>
      </c>
      <c r="K60" s="50"/>
      <c r="L60" s="42">
        <f>ROUND(IF(Info!$B$24=TRUE,J60/M59,J60),4)</f>
        <v>1377.5355</v>
      </c>
    </row>
    <row r="61" spans="1:13" ht="18.75">
      <c r="A61" s="24">
        <f>A59+1</f>
        <v>26</v>
      </c>
      <c r="B61" s="59" t="s">
        <v>104</v>
      </c>
      <c r="C61" s="60" t="s">
        <v>136</v>
      </c>
      <c r="D61" s="23"/>
      <c r="E61" s="23"/>
      <c r="F61" s="23"/>
      <c r="G61" s="23"/>
      <c r="H61" s="23"/>
      <c r="I61" s="59" t="s">
        <v>68</v>
      </c>
      <c r="J61" s="50"/>
      <c r="K61" s="51">
        <f>SUM(J62:J62)</f>
        <v>4345.04</v>
      </c>
      <c r="L61" s="49">
        <f>ROUND(SUM(L62:L62),4)</f>
        <v>43.4504</v>
      </c>
      <c r="M61" s="3">
        <v>100</v>
      </c>
    </row>
    <row r="62" spans="1:12" ht="15.75">
      <c r="A62" s="23"/>
      <c r="B62" s="23"/>
      <c r="C62" s="58" t="s">
        <v>137</v>
      </c>
      <c r="D62" s="23">
        <v>1</v>
      </c>
      <c r="E62" s="43">
        <v>0</v>
      </c>
      <c r="F62" s="43">
        <v>0</v>
      </c>
      <c r="G62" s="43">
        <v>0</v>
      </c>
      <c r="H62" s="43">
        <v>0</v>
      </c>
      <c r="I62" s="23"/>
      <c r="J62" s="50">
        <f>ROUND(IF(AND(OR(D62=0,D62=1),E62=0,F62=0,G62=0,H62=0),4345.04,IF(E62&lt;&gt;0,E62,1)*IF(F62&lt;&gt;0,F62,1)*IF(G62&lt;&gt;0,G62,1)*IF(H62&lt;&gt;0,H62,1)*IF(D62&lt;&gt;0,D62,1)),3)</f>
        <v>4345.04</v>
      </c>
      <c r="K62" s="50"/>
      <c r="L62" s="42">
        <f>ROUND(IF(Info!$B$24=TRUE,J62/M61,J62),4)</f>
        <v>43.4504</v>
      </c>
    </row>
    <row r="63" spans="1:13" ht="18.75">
      <c r="A63" s="24">
        <f>A61+1</f>
        <v>27</v>
      </c>
      <c r="B63" s="59" t="s">
        <v>138</v>
      </c>
      <c r="C63" s="60" t="s">
        <v>139</v>
      </c>
      <c r="D63" s="23"/>
      <c r="E63" s="23"/>
      <c r="F63" s="23"/>
      <c r="G63" s="23"/>
      <c r="H63" s="23"/>
      <c r="I63" s="59" t="s">
        <v>68</v>
      </c>
      <c r="J63" s="50"/>
      <c r="K63" s="51">
        <f>SUM(J64:J64)</f>
        <v>1910</v>
      </c>
      <c r="L63" s="49">
        <f>ROUND(SUM(L64:L64),4)</f>
        <v>1910</v>
      </c>
      <c r="M63" s="3">
        <v>1</v>
      </c>
    </row>
    <row r="64" spans="1:12" ht="15.75">
      <c r="A64" s="23"/>
      <c r="B64" s="23"/>
      <c r="C64" s="58" t="s">
        <v>140</v>
      </c>
      <c r="D64" s="23">
        <v>1</v>
      </c>
      <c r="E64" s="43">
        <v>0</v>
      </c>
      <c r="F64" s="43">
        <v>0</v>
      </c>
      <c r="G64" s="43">
        <v>0</v>
      </c>
      <c r="H64" s="43">
        <v>0</v>
      </c>
      <c r="I64" s="23"/>
      <c r="J64" s="50">
        <f>ROUND(IF(AND(OR(D64=0,D64=1),E64=0,F64=0,G64=0,H64=0),1910,IF(E64&lt;&gt;0,E64,1)*IF(F64&lt;&gt;0,F64,1)*IF(G64&lt;&gt;0,G64,1)*IF(H64&lt;&gt;0,H64,1)*IF(D64&lt;&gt;0,D64,1)),3)</f>
        <v>1910</v>
      </c>
      <c r="K64" s="50"/>
      <c r="L64" s="42">
        <f>ROUND(IF(Info!$B$24=TRUE,J64/M63,J64),4)</f>
        <v>1910</v>
      </c>
    </row>
    <row r="65" spans="1:13" ht="18.75">
      <c r="A65" s="24">
        <f>A63+1</f>
        <v>28</v>
      </c>
      <c r="B65" s="59" t="s">
        <v>116</v>
      </c>
      <c r="C65" s="60" t="s">
        <v>141</v>
      </c>
      <c r="D65" s="23"/>
      <c r="E65" s="23"/>
      <c r="F65" s="23"/>
      <c r="G65" s="23"/>
      <c r="H65" s="23"/>
      <c r="I65" s="59" t="s">
        <v>68</v>
      </c>
      <c r="J65" s="50"/>
      <c r="K65" s="51">
        <f>SUM(J66:J66)</f>
        <v>2505.34</v>
      </c>
      <c r="L65" s="49">
        <f>ROUND(SUM(L66:L66),4)</f>
        <v>2505.34</v>
      </c>
      <c r="M65" s="3">
        <v>1</v>
      </c>
    </row>
    <row r="66" spans="1:12" ht="15.75">
      <c r="A66" s="23"/>
      <c r="B66" s="23"/>
      <c r="C66" s="58" t="s">
        <v>142</v>
      </c>
      <c r="D66" s="23">
        <v>1</v>
      </c>
      <c r="E66" s="43">
        <v>0</v>
      </c>
      <c r="F66" s="43">
        <v>0</v>
      </c>
      <c r="G66" s="43">
        <v>0</v>
      </c>
      <c r="H66" s="43">
        <v>0</v>
      </c>
      <c r="I66" s="23"/>
      <c r="J66" s="50">
        <f>ROUND(IF(AND(OR(D66=0,D66=1),E66=0,F66=0,G66=0,H66=0),2505.34,IF(E66&lt;&gt;0,E66,1)*IF(F66&lt;&gt;0,F66,1)*IF(G66&lt;&gt;0,G66,1)*IF(H66&lt;&gt;0,H66,1)*IF(D66&lt;&gt;0,D66,1)),3)</f>
        <v>2505.34</v>
      </c>
      <c r="K66" s="50"/>
      <c r="L66" s="42">
        <f>ROUND(IF(Info!$B$24=TRUE,J66/M65,J66),4)</f>
        <v>2505.34</v>
      </c>
    </row>
    <row r="67" spans="1:13" ht="15.75">
      <c r="A67" s="24">
        <f>A65+1</f>
        <v>29</v>
      </c>
      <c r="B67" s="59" t="s">
        <v>116</v>
      </c>
      <c r="C67" s="60" t="s">
        <v>143</v>
      </c>
      <c r="D67" s="23"/>
      <c r="E67" s="23"/>
      <c r="F67" s="23"/>
      <c r="G67" s="23"/>
      <c r="H67" s="23"/>
      <c r="I67" s="59" t="s">
        <v>118</v>
      </c>
      <c r="J67" s="50"/>
      <c r="K67" s="51">
        <f>SUM(J68:J68)</f>
        <v>31833</v>
      </c>
      <c r="L67" s="49">
        <f>ROUND(SUM(L68:L68),4)</f>
        <v>31833</v>
      </c>
      <c r="M67" s="3">
        <v>1</v>
      </c>
    </row>
    <row r="68" spans="1:12" ht="15.75">
      <c r="A68" s="23"/>
      <c r="B68" s="23"/>
      <c r="C68" s="58" t="s">
        <v>144</v>
      </c>
      <c r="D68" s="23">
        <v>1</v>
      </c>
      <c r="E68" s="43">
        <v>0</v>
      </c>
      <c r="F68" s="43">
        <v>0</v>
      </c>
      <c r="G68" s="43">
        <v>0</v>
      </c>
      <c r="H68" s="43">
        <v>0</v>
      </c>
      <c r="I68" s="23"/>
      <c r="J68" s="50">
        <f>ROUND(IF(AND(OR(D68=0,D68=1),E68=0,F68=0,G68=0,H68=0),31833,IF(E68&lt;&gt;0,E68,1)*IF(F68&lt;&gt;0,F68,1)*IF(G68&lt;&gt;0,G68,1)*IF(H68&lt;&gt;0,H68,1)*IF(D68&lt;&gt;0,D68,1)),3)</f>
        <v>31833</v>
      </c>
      <c r="K68" s="50"/>
      <c r="L68" s="42">
        <f>ROUND(IF(Info!$B$24=TRUE,J68/M67,J68),4)</f>
        <v>31833</v>
      </c>
    </row>
    <row r="69" spans="1:13" ht="15.75">
      <c r="A69" s="24">
        <f>A67+1</f>
        <v>30</v>
      </c>
      <c r="B69" s="59" t="s">
        <v>116</v>
      </c>
      <c r="C69" s="60" t="s">
        <v>145</v>
      </c>
      <c r="D69" s="23"/>
      <c r="E69" s="23"/>
      <c r="F69" s="23"/>
      <c r="G69" s="23"/>
      <c r="H69" s="23"/>
      <c r="I69" s="59" t="s">
        <v>146</v>
      </c>
      <c r="J69" s="50"/>
      <c r="K69" s="51">
        <f>SUM(J70:J70)</f>
        <v>318.33</v>
      </c>
      <c r="L69" s="49">
        <f>ROUND(SUM(L70:L70),4)</f>
        <v>318.33</v>
      </c>
      <c r="M69" s="3">
        <v>1</v>
      </c>
    </row>
    <row r="70" spans="1:12" ht="15.75">
      <c r="A70" s="27"/>
      <c r="B70" s="27"/>
      <c r="C70" s="61" t="s">
        <v>147</v>
      </c>
      <c r="D70" s="27">
        <v>1</v>
      </c>
      <c r="E70" s="44">
        <v>0</v>
      </c>
      <c r="F70" s="44">
        <v>0</v>
      </c>
      <c r="G70" s="44">
        <v>0</v>
      </c>
      <c r="H70" s="44">
        <v>0</v>
      </c>
      <c r="I70" s="27"/>
      <c r="J70" s="52">
        <f>ROUND(IF(AND(OR(D70=0,D70=1),E70=0,F70=0,G70=0,H70=0),318.33,IF(E70&lt;&gt;0,E70,1)*IF(F70&lt;&gt;0,F70,1)*IF(G70&lt;&gt;0,G70,1)*IF(H70&lt;&gt;0,H70,1)*IF(D70&lt;&gt;0,D70,1)),3)</f>
        <v>318.33</v>
      </c>
      <c r="K70" s="52"/>
      <c r="L70" s="42">
        <f>ROUND(IF(Info!$B$24=TRUE,J70/M69,J70),4)</f>
        <v>318.33</v>
      </c>
    </row>
  </sheetData>
  <sheetProtection/>
  <mergeCells count="14">
    <mergeCell ref="A25:K25"/>
    <mergeCell ref="A56:K56"/>
    <mergeCell ref="A5:A6"/>
    <mergeCell ref="B5:B6"/>
    <mergeCell ref="C5:C6"/>
    <mergeCell ref="D5:D6"/>
    <mergeCell ref="H5:H6"/>
    <mergeCell ref="I5:I6"/>
    <mergeCell ref="A1:K1"/>
    <mergeCell ref="A2:K2"/>
    <mergeCell ref="A3:K3"/>
    <mergeCell ref="E5:G5"/>
    <mergeCell ref="J5:K5"/>
    <mergeCell ref="A8:K8"/>
  </mergeCells>
  <printOptions horizontalCentered="1"/>
  <pageMargins left="0.25" right="0.25" top="0.4" bottom="0.5" header="0.5" footer="0.25"/>
  <pageSetup horizontalDpi="300" verticalDpi="300" orientation="landscape" paperSize="9" r:id="rId1"/>
  <headerFooter alignWithMargins="0">
    <oddFooter>&amp;R&amp;"Times New Roman"&amp;10 Trang &amp;P / &amp;N    *    tên công trình: xây dựng hạ tầng khu nhà ở thanh niên - hạng mục: đường bờ tây (đoạn nối từ cầu giáp quạ đến cuối tuyến)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140625" style="3" customWidth="1"/>
    <col min="2" max="2" width="40.7109375" style="3" customWidth="1"/>
    <col min="3" max="3" width="10.7109375" style="3" customWidth="1"/>
    <col min="4" max="4" width="17.8515625" style="3" customWidth="1"/>
    <col min="5" max="5" width="9.140625" style="3" hidden="1" customWidth="1"/>
    <col min="6" max="16384" width="9.140625" style="3" customWidth="1"/>
  </cols>
  <sheetData>
    <row r="1" spans="1:4" ht="22.5">
      <c r="A1" s="64" t="str">
        <f>Info!B6</f>
        <v>BẢNG LƯƠNG NHÂN CÔNG</v>
      </c>
      <c r="B1" s="64"/>
      <c r="C1" s="64"/>
      <c r="D1" s="64"/>
    </row>
    <row r="2" spans="1:4" ht="18.75">
      <c r="A2" s="65" t="e">
        <f>#REF!</f>
        <v>#REF!</v>
      </c>
      <c r="B2" s="65"/>
      <c r="C2" s="65"/>
      <c r="D2" s="65"/>
    </row>
    <row r="3" spans="1:4" ht="18.75">
      <c r="A3" s="65" t="e">
        <f>#REF!</f>
        <v>#REF!</v>
      </c>
      <c r="B3" s="65"/>
      <c r="C3" s="65"/>
      <c r="D3" s="65"/>
    </row>
    <row r="4" spans="1:4" ht="15.75">
      <c r="A4" s="4"/>
      <c r="B4" s="4"/>
      <c r="C4" s="4"/>
      <c r="D4" s="4"/>
    </row>
    <row r="5" spans="1:4" ht="15.75">
      <c r="A5" s="31" t="s">
        <v>37</v>
      </c>
      <c r="B5" s="31" t="s">
        <v>148</v>
      </c>
      <c r="C5" s="31" t="s">
        <v>149</v>
      </c>
      <c r="D5" s="31" t="s">
        <v>150</v>
      </c>
    </row>
    <row r="6" spans="1:4" ht="15.75">
      <c r="A6" s="18" t="s">
        <v>50</v>
      </c>
      <c r="B6" s="18" t="s">
        <v>51</v>
      </c>
      <c r="C6" s="18" t="s">
        <v>52</v>
      </c>
      <c r="D6" s="18" t="s">
        <v>53</v>
      </c>
    </row>
    <row r="7" spans="1:5" ht="15.75">
      <c r="A7" s="20">
        <v>1</v>
      </c>
      <c r="B7" s="57" t="s">
        <v>151</v>
      </c>
      <c r="C7" s="56" t="s">
        <v>152</v>
      </c>
      <c r="D7" s="39">
        <v>185000</v>
      </c>
      <c r="E7" s="3" t="s">
        <v>153</v>
      </c>
    </row>
    <row r="8" spans="1:5" ht="15.75">
      <c r="A8" s="24">
        <v>2</v>
      </c>
      <c r="B8" s="60" t="s">
        <v>154</v>
      </c>
      <c r="C8" s="59" t="s">
        <v>152</v>
      </c>
      <c r="D8" s="40">
        <v>190000</v>
      </c>
      <c r="E8" s="3" t="s">
        <v>155</v>
      </c>
    </row>
    <row r="9" spans="1:5" ht="15.75">
      <c r="A9" s="24">
        <v>3</v>
      </c>
      <c r="B9" s="60" t="s">
        <v>156</v>
      </c>
      <c r="C9" s="59" t="s">
        <v>152</v>
      </c>
      <c r="D9" s="40">
        <v>200000</v>
      </c>
      <c r="E9" s="3" t="s">
        <v>157</v>
      </c>
    </row>
    <row r="10" spans="1:5" ht="15.75">
      <c r="A10" s="24">
        <v>4</v>
      </c>
      <c r="B10" s="60" t="s">
        <v>158</v>
      </c>
      <c r="C10" s="59" t="s">
        <v>152</v>
      </c>
      <c r="D10" s="40">
        <v>210000</v>
      </c>
      <c r="E10" s="3" t="s">
        <v>159</v>
      </c>
    </row>
    <row r="11" spans="1:5" ht="15.75">
      <c r="A11" s="24">
        <v>5</v>
      </c>
      <c r="B11" s="60" t="s">
        <v>160</v>
      </c>
      <c r="C11" s="59" t="s">
        <v>152</v>
      </c>
      <c r="D11" s="40">
        <v>220000</v>
      </c>
      <c r="E11" s="3" t="s">
        <v>161</v>
      </c>
    </row>
    <row r="12" spans="1:5" ht="15.75">
      <c r="A12" s="28">
        <v>6</v>
      </c>
      <c r="B12" s="62" t="s">
        <v>162</v>
      </c>
      <c r="C12" s="63" t="s">
        <v>152</v>
      </c>
      <c r="D12" s="41">
        <v>250000</v>
      </c>
      <c r="E12" s="3" t="s">
        <v>163</v>
      </c>
    </row>
  </sheetData>
  <sheetProtection/>
  <mergeCells count="3">
    <mergeCell ref="A1:D1"/>
    <mergeCell ref="A2:D2"/>
    <mergeCell ref="A3:D3"/>
  </mergeCells>
  <printOptions horizontalCentered="1"/>
  <pageMargins left="0.25" right="0.25" top="0.4" bottom="0.5" header="0.5" footer="0.25"/>
  <pageSetup horizontalDpi="300" verticalDpi="300" orientation="portrait" paperSize="9" r:id="rId1"/>
  <headerFooter alignWithMargins="0">
    <oddFooter>&amp;R&amp;"Times New Roman"&amp;10 Trang &amp;P / &amp;N    *    tên công trình: xây dựng hạ tầng khu nhà ở thanh niên - hạng mục: đường bờ tây (đoạn nối từ cầu giáp quạ đến cuối tuyến)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pane ySplit="6" topLeftCell="A22" activePane="bottomLeft" state="frozen"/>
      <selection pane="topLeft" activeCell="A1" sqref="A1"/>
      <selection pane="bottomLeft" activeCell="E36" sqref="E36"/>
    </sheetView>
  </sheetViews>
  <sheetFormatPr defaultColWidth="9.140625" defaultRowHeight="12.75"/>
  <cols>
    <col min="1" max="1" width="5.7109375" style="3" customWidth="1"/>
    <col min="2" max="2" width="26.7109375" style="3" customWidth="1"/>
    <col min="3" max="3" width="7.7109375" style="3" customWidth="1"/>
    <col min="4" max="4" width="10.7109375" style="3" customWidth="1"/>
    <col min="5" max="7" width="12.7109375" style="3" customWidth="1"/>
    <col min="8" max="8" width="12.7109375" style="3" hidden="1" customWidth="1"/>
    <col min="9" max="9" width="12.7109375" style="3" customWidth="1"/>
    <col min="10" max="10" width="9.140625" style="3" hidden="1" customWidth="1"/>
    <col min="11" max="16384" width="9.140625" style="3" customWidth="1"/>
  </cols>
  <sheetData>
    <row r="1" spans="1:9" ht="22.5">
      <c r="A1" s="64" t="str">
        <f>Info!B7</f>
        <v>BẢNG GIÁ CA MÁY THIẾT BỊ THI CÔNG</v>
      </c>
      <c r="B1" s="64"/>
      <c r="C1" s="64"/>
      <c r="D1" s="64"/>
      <c r="E1" s="64"/>
      <c r="F1" s="64"/>
      <c r="G1" s="64"/>
      <c r="H1" s="64"/>
      <c r="I1" s="64"/>
    </row>
    <row r="2" spans="1:9" ht="18.75">
      <c r="A2" s="65" t="str">
        <f>"CÔNG TRÌNH: "&amp;Info!B1</f>
        <v>CÔNG TRÌNH: XÂY DỰNG HẠ TẦNG KHU NHÀ Ở THANH NIÊN</v>
      </c>
      <c r="B2" s="65"/>
      <c r="C2" s="65"/>
      <c r="D2" s="65"/>
      <c r="E2" s="65"/>
      <c r="F2" s="65"/>
      <c r="G2" s="65"/>
      <c r="H2" s="65"/>
      <c r="I2" s="65"/>
    </row>
    <row r="3" spans="1:9" ht="18.75">
      <c r="A3" s="65" t="str">
        <f>"HẠNG MỤC: "&amp;Info!B2</f>
        <v>HẠNG MỤC: ĐƯỜNG BỜ TÂY (ĐOẠN NỐI TỪ CẦU GIÁP QUẠ ĐẾN CUỐI TUYẾN)</v>
      </c>
      <c r="B3" s="65"/>
      <c r="C3" s="65"/>
      <c r="D3" s="65"/>
      <c r="E3" s="65"/>
      <c r="F3" s="65"/>
      <c r="G3" s="65"/>
      <c r="H3" s="65"/>
      <c r="I3" s="65"/>
    </row>
    <row r="5" spans="1:9" ht="31.5">
      <c r="A5" s="5" t="s">
        <v>37</v>
      </c>
      <c r="B5" s="5" t="s">
        <v>164</v>
      </c>
      <c r="C5" s="5" t="s">
        <v>43</v>
      </c>
      <c r="D5" s="5" t="s">
        <v>44</v>
      </c>
      <c r="E5" s="5" t="s">
        <v>165</v>
      </c>
      <c r="F5" s="5" t="s">
        <v>166</v>
      </c>
      <c r="G5" s="5" t="s">
        <v>167</v>
      </c>
      <c r="H5" s="5" t="s">
        <v>168</v>
      </c>
      <c r="I5" s="5" t="s">
        <v>169</v>
      </c>
    </row>
    <row r="6" spans="1:9" ht="15.75">
      <c r="A6" s="18" t="s">
        <v>50</v>
      </c>
      <c r="B6" s="18" t="s">
        <v>51</v>
      </c>
      <c r="C6" s="18" t="s">
        <v>52</v>
      </c>
      <c r="D6" s="18" t="s">
        <v>53</v>
      </c>
      <c r="E6" s="18" t="s">
        <v>54</v>
      </c>
      <c r="F6" s="18" t="s">
        <v>55</v>
      </c>
      <c r="G6" s="18" t="s">
        <v>56</v>
      </c>
      <c r="H6" s="18" t="s">
        <v>56</v>
      </c>
      <c r="I6" s="18" t="s">
        <v>57</v>
      </c>
    </row>
    <row r="7" spans="1:10" ht="15.75">
      <c r="A7" s="20">
        <v>1</v>
      </c>
      <c r="B7" s="57" t="s">
        <v>170</v>
      </c>
      <c r="C7" s="56" t="s">
        <v>171</v>
      </c>
      <c r="D7" s="19">
        <v>192.168</v>
      </c>
      <c r="E7" s="39">
        <v>100000</v>
      </c>
      <c r="F7" s="19">
        <f>BuNL!$G$45</f>
        <v>1</v>
      </c>
      <c r="G7" s="39" t="e">
        <f ca="1">SUMPRODUCT((BuNL!B8:BuNL!B36=$B$7)*(BuNL!P8:BuNL!P36=$J$7)*(BuNL!N8:BuNL!N36))</f>
        <v>#VALUE!</v>
      </c>
      <c r="H7" s="39"/>
      <c r="I7" s="39" t="e">
        <f>ROUND($E$7*IF($F$7=0,1,$F$7)+$G$7,0)</f>
        <v>#VALUE!</v>
      </c>
      <c r="J7" s="3" t="s">
        <v>172</v>
      </c>
    </row>
    <row r="8" spans="1:10" ht="15.75">
      <c r="A8" s="24">
        <v>2</v>
      </c>
      <c r="B8" s="60" t="s">
        <v>173</v>
      </c>
      <c r="C8" s="59" t="s">
        <v>171</v>
      </c>
      <c r="D8" s="23">
        <v>0.08</v>
      </c>
      <c r="E8" s="40">
        <v>55944</v>
      </c>
      <c r="F8" s="23">
        <f>BuNL!$G$45</f>
        <v>1</v>
      </c>
      <c r="G8" s="40" t="e">
        <f ca="1">SUMPRODUCT((BuNL!B8:BuNL!B36=$B$8)*(BuNL!P8:BuNL!P36=$J$8)*(BuNL!N8:BuNL!N36))</f>
        <v>#VALUE!</v>
      </c>
      <c r="H8" s="40"/>
      <c r="I8" s="40" t="e">
        <f>ROUND($E$8*IF($F$8=0,1,$F$8)+$G$8,0)</f>
        <v>#VALUE!</v>
      </c>
      <c r="J8" s="3" t="s">
        <v>174</v>
      </c>
    </row>
    <row r="9" spans="1:10" ht="15.75">
      <c r="A9" s="24">
        <v>3</v>
      </c>
      <c r="B9" s="60" t="s">
        <v>175</v>
      </c>
      <c r="C9" s="59" t="s">
        <v>171</v>
      </c>
      <c r="D9" s="23">
        <v>13.134</v>
      </c>
      <c r="E9" s="40">
        <v>1800000</v>
      </c>
      <c r="F9" s="23">
        <f>BuNL!$G$45</f>
        <v>1</v>
      </c>
      <c r="G9" s="40" t="e">
        <f ca="1">SUMPRODUCT((BuNL!B8:BuNL!B36=$B$9)*(BuNL!P8:BuNL!P36=$J$9)*(BuNL!N8:BuNL!N36))</f>
        <v>#VALUE!</v>
      </c>
      <c r="H9" s="40"/>
      <c r="I9" s="40" t="e">
        <f>ROUND($E$9*IF($F$9=0,1,$F$9)+$G$9,0)</f>
        <v>#VALUE!</v>
      </c>
      <c r="J9" s="3" t="s">
        <v>176</v>
      </c>
    </row>
    <row r="10" spans="1:10" ht="15.75">
      <c r="A10" s="24">
        <v>4</v>
      </c>
      <c r="B10" s="60" t="s">
        <v>177</v>
      </c>
      <c r="C10" s="59" t="s">
        <v>171</v>
      </c>
      <c r="D10" s="23">
        <v>1.574</v>
      </c>
      <c r="E10" s="40">
        <v>437307</v>
      </c>
      <c r="F10" s="23">
        <f>BuNL!$G$45</f>
        <v>1</v>
      </c>
      <c r="G10" s="40" t="e">
        <f ca="1">SUMPRODUCT((BuNL!B8:BuNL!B36=$B$10)*(BuNL!P8:BuNL!P36=$J$10)*(BuNL!N8:BuNL!N36))</f>
        <v>#VALUE!</v>
      </c>
      <c r="H10" s="40"/>
      <c r="I10" s="40" t="e">
        <f>ROUND($E$10*IF($F$10=0,1,$F$10)+$G$10,0)</f>
        <v>#VALUE!</v>
      </c>
      <c r="J10" s="3" t="s">
        <v>178</v>
      </c>
    </row>
    <row r="11" spans="1:10" ht="15.75">
      <c r="A11" s="24">
        <v>5</v>
      </c>
      <c r="B11" s="60" t="s">
        <v>179</v>
      </c>
      <c r="C11" s="59" t="s">
        <v>171</v>
      </c>
      <c r="D11" s="23">
        <v>0.54</v>
      </c>
      <c r="E11" s="40">
        <v>74186</v>
      </c>
      <c r="F11" s="23">
        <f>BuNL!$G$45</f>
        <v>1</v>
      </c>
      <c r="G11" s="40" t="e">
        <f ca="1">SUMPRODUCT((BuNL!B8:BuNL!B36=$B$11)*(BuNL!P8:BuNL!P36=$J$11)*(BuNL!N8:BuNL!N36))</f>
        <v>#VALUE!</v>
      </c>
      <c r="H11" s="40"/>
      <c r="I11" s="40" t="e">
        <f>ROUND($E$11*IF($F$11=0,1,$F$11)+$G$11,0)</f>
        <v>#VALUE!</v>
      </c>
      <c r="J11" s="3" t="s">
        <v>180</v>
      </c>
    </row>
    <row r="12" spans="1:10" ht="15.75">
      <c r="A12" s="24">
        <v>6</v>
      </c>
      <c r="B12" s="60" t="s">
        <v>181</v>
      </c>
      <c r="C12" s="59" t="s">
        <v>171</v>
      </c>
      <c r="D12" s="23">
        <v>0.269</v>
      </c>
      <c r="E12" s="40">
        <v>54954</v>
      </c>
      <c r="F12" s="23">
        <f>BuNL!$G$45</f>
        <v>1</v>
      </c>
      <c r="G12" s="40" t="e">
        <f ca="1">SUMPRODUCT((BuNL!B8:BuNL!B36=$B$12)*(BuNL!P8:BuNL!P36=$J$12)*(BuNL!N8:BuNL!N36))</f>
        <v>#VALUE!</v>
      </c>
      <c r="H12" s="40"/>
      <c r="I12" s="40" t="e">
        <f>ROUND($E$12*IF($F$12=0,1,$F$12)+$G$12,0)</f>
        <v>#VALUE!</v>
      </c>
      <c r="J12" s="3" t="s">
        <v>182</v>
      </c>
    </row>
    <row r="13" spans="1:10" ht="15.75">
      <c r="A13" s="24">
        <v>7</v>
      </c>
      <c r="B13" s="60" t="s">
        <v>183</v>
      </c>
      <c r="C13" s="59" t="s">
        <v>171</v>
      </c>
      <c r="D13" s="23">
        <v>8.205</v>
      </c>
      <c r="E13" s="40">
        <v>3200000</v>
      </c>
      <c r="F13" s="23">
        <f>BuNL!$G$45</f>
        <v>1</v>
      </c>
      <c r="G13" s="40" t="e">
        <f ca="1">SUMPRODUCT((BuNL!B8:BuNL!B36=$B$13)*(BuNL!P8:BuNL!P36=$J$13)*(BuNL!N8:BuNL!N36))</f>
        <v>#VALUE!</v>
      </c>
      <c r="H13" s="40"/>
      <c r="I13" s="40" t="e">
        <f>ROUND($E$13*IF($F$13=0,1,$F$13)+$G$13,0)</f>
        <v>#VALUE!</v>
      </c>
      <c r="J13" s="3" t="s">
        <v>184</v>
      </c>
    </row>
    <row r="14" spans="1:10" ht="15.75">
      <c r="A14" s="24">
        <v>8</v>
      </c>
      <c r="B14" s="60" t="s">
        <v>185</v>
      </c>
      <c r="C14" s="59" t="s">
        <v>171</v>
      </c>
      <c r="D14" s="23">
        <v>0.171</v>
      </c>
      <c r="E14" s="40">
        <v>104624</v>
      </c>
      <c r="F14" s="23">
        <f>BuNL!$G$45</f>
        <v>1</v>
      </c>
      <c r="G14" s="40" t="e">
        <f ca="1">SUMPRODUCT((BuNL!B8:BuNL!B36=$B$14)*(BuNL!P8:BuNL!P36=$J$14)*(BuNL!N8:BuNL!N36))</f>
        <v>#VALUE!</v>
      </c>
      <c r="H14" s="40"/>
      <c r="I14" s="40" t="e">
        <f>ROUND($E$14*IF($F$14=0,1,$F$14)+$G$14,0)</f>
        <v>#VALUE!</v>
      </c>
      <c r="J14" s="3" t="s">
        <v>186</v>
      </c>
    </row>
    <row r="15" spans="1:10" ht="15.75">
      <c r="A15" s="24">
        <v>9</v>
      </c>
      <c r="B15" s="60" t="s">
        <v>187</v>
      </c>
      <c r="C15" s="59" t="s">
        <v>171</v>
      </c>
      <c r="D15" s="23">
        <v>0.082</v>
      </c>
      <c r="E15" s="40">
        <v>65447</v>
      </c>
      <c r="F15" s="23">
        <f>BuNL!$G$45</f>
        <v>1</v>
      </c>
      <c r="G15" s="40" t="e">
        <f ca="1">SUMPRODUCT((BuNL!B8:BuNL!B36=$B$15)*(BuNL!P8:BuNL!P36=$J$15)*(BuNL!N8:BuNL!N36))</f>
        <v>#VALUE!</v>
      </c>
      <c r="H15" s="40"/>
      <c r="I15" s="40" t="e">
        <f>ROUND($E$15*IF($F$15=0,1,$F$15)+$G$15,0)</f>
        <v>#VALUE!</v>
      </c>
      <c r="J15" s="3" t="s">
        <v>188</v>
      </c>
    </row>
    <row r="16" spans="1:10" ht="15.75">
      <c r="A16" s="24">
        <v>10</v>
      </c>
      <c r="B16" s="60" t="s">
        <v>189</v>
      </c>
      <c r="C16" s="59" t="s">
        <v>171</v>
      </c>
      <c r="D16" s="23">
        <v>19.029</v>
      </c>
      <c r="E16" s="40">
        <v>1000000</v>
      </c>
      <c r="F16" s="23">
        <f>BuNL!$G$45</f>
        <v>1</v>
      </c>
      <c r="G16" s="40" t="e">
        <f ca="1">SUMPRODUCT((BuNL!B8:BuNL!B36=$B$16)*(BuNL!P8:BuNL!P36=$J$16)*(BuNL!N8:BuNL!N36))</f>
        <v>#VALUE!</v>
      </c>
      <c r="H16" s="40"/>
      <c r="I16" s="40" t="e">
        <f>ROUND($E$16*IF($F$16=0,1,$F$16)+$G$16,0)</f>
        <v>#VALUE!</v>
      </c>
      <c r="J16" s="3" t="s">
        <v>190</v>
      </c>
    </row>
    <row r="17" spans="1:10" ht="15.75">
      <c r="A17" s="24">
        <v>11</v>
      </c>
      <c r="B17" s="60" t="s">
        <v>191</v>
      </c>
      <c r="C17" s="59" t="s">
        <v>171</v>
      </c>
      <c r="D17" s="23">
        <v>54.386</v>
      </c>
      <c r="E17" s="40">
        <v>1000000</v>
      </c>
      <c r="F17" s="23">
        <f>BuNL!$G$45</f>
        <v>1</v>
      </c>
      <c r="G17" s="40" t="e">
        <f ca="1">SUMPRODUCT((BuNL!B8:BuNL!B36=$B$17)*(BuNL!P8:BuNL!P36=$J$17)*(BuNL!N8:BuNL!N36))</f>
        <v>#VALUE!</v>
      </c>
      <c r="H17" s="40"/>
      <c r="I17" s="40" t="e">
        <f>ROUND($E$17*IF($F$17=0,1,$F$17)+$G$17,0)</f>
        <v>#VALUE!</v>
      </c>
      <c r="J17" s="3" t="s">
        <v>192</v>
      </c>
    </row>
    <row r="18" spans="1:10" ht="31.5">
      <c r="A18" s="24">
        <v>12</v>
      </c>
      <c r="B18" s="60" t="s">
        <v>193</v>
      </c>
      <c r="C18" s="59" t="s">
        <v>171</v>
      </c>
      <c r="D18" s="23">
        <v>32.143</v>
      </c>
      <c r="E18" s="40">
        <v>1300000</v>
      </c>
      <c r="F18" s="23">
        <f>BuNL!$G$45</f>
        <v>1</v>
      </c>
      <c r="G18" s="40" t="e">
        <f ca="1">SUMPRODUCT((BuNL!B8:BuNL!B36=$B$18)*(BuNL!P8:BuNL!P36=$J$18)*(BuNL!N8:BuNL!N36))</f>
        <v>#VALUE!</v>
      </c>
      <c r="H18" s="40"/>
      <c r="I18" s="40" t="e">
        <f>ROUND($E$18*IF($F$18=0,1,$F$18)+$G$18,0)</f>
        <v>#VALUE!</v>
      </c>
      <c r="J18" s="3" t="s">
        <v>194</v>
      </c>
    </row>
    <row r="19" spans="1:10" ht="15.75">
      <c r="A19" s="24">
        <v>13</v>
      </c>
      <c r="B19" s="60" t="s">
        <v>195</v>
      </c>
      <c r="C19" s="59" t="s">
        <v>171</v>
      </c>
      <c r="D19" s="23">
        <v>19.029</v>
      </c>
      <c r="E19" s="40">
        <v>1800000</v>
      </c>
      <c r="F19" s="23">
        <f>BuNL!$G$45</f>
        <v>1</v>
      </c>
      <c r="G19" s="40" t="e">
        <f ca="1">SUMPRODUCT((BuNL!B8:BuNL!B36=$B$19)*(BuNL!P8:BuNL!P36=$J$19)*(BuNL!N8:BuNL!N36))</f>
        <v>#VALUE!</v>
      </c>
      <c r="H19" s="40"/>
      <c r="I19" s="40" t="e">
        <f>ROUND($E$19*IF($F$19=0,1,$F$19)+$G$19,0)</f>
        <v>#VALUE!</v>
      </c>
      <c r="J19" s="3" t="s">
        <v>196</v>
      </c>
    </row>
    <row r="20" spans="1:10" ht="15.75">
      <c r="A20" s="24">
        <v>14</v>
      </c>
      <c r="B20" s="60" t="s">
        <v>197</v>
      </c>
      <c r="C20" s="59" t="s">
        <v>171</v>
      </c>
      <c r="D20" s="23">
        <v>0.54</v>
      </c>
      <c r="E20" s="40">
        <v>42399</v>
      </c>
      <c r="F20" s="23">
        <f>BuNL!$G$45</f>
        <v>1</v>
      </c>
      <c r="G20" s="40" t="e">
        <f ca="1">SUMPRODUCT((BuNL!B8:BuNL!B36=$B$20)*(BuNL!P8:BuNL!P36=$J$20)*(BuNL!N8:BuNL!N36))</f>
        <v>#VALUE!</v>
      </c>
      <c r="H20" s="40"/>
      <c r="I20" s="40" t="e">
        <f>ROUND($E$20*IF($F$20=0,1,$F$20)+$G$20,0)</f>
        <v>#VALUE!</v>
      </c>
      <c r="J20" s="3" t="s">
        <v>198</v>
      </c>
    </row>
    <row r="21" spans="1:10" ht="15.75">
      <c r="A21" s="24">
        <v>15</v>
      </c>
      <c r="B21" s="60" t="s">
        <v>199</v>
      </c>
      <c r="C21" s="59" t="s">
        <v>171</v>
      </c>
      <c r="D21" s="23">
        <v>0.082</v>
      </c>
      <c r="E21" s="40">
        <v>47981</v>
      </c>
      <c r="F21" s="23">
        <f>BuNL!$G$45</f>
        <v>1</v>
      </c>
      <c r="G21" s="40" t="e">
        <f ca="1">SUMPRODUCT((BuNL!B8:BuNL!B36=$B$21)*(BuNL!P8:BuNL!P36=$J$21)*(BuNL!N8:BuNL!N36))</f>
        <v>#VALUE!</v>
      </c>
      <c r="H21" s="40"/>
      <c r="I21" s="40" t="e">
        <f>ROUND($E$21*IF($F$21=0,1,$F$21)+$G$21,0)</f>
        <v>#VALUE!</v>
      </c>
      <c r="J21" s="3" t="s">
        <v>200</v>
      </c>
    </row>
    <row r="22" spans="1:10" ht="15.75">
      <c r="A22" s="24">
        <v>16</v>
      </c>
      <c r="B22" s="60" t="s">
        <v>201</v>
      </c>
      <c r="C22" s="59" t="s">
        <v>171</v>
      </c>
      <c r="D22" s="23">
        <v>7.203</v>
      </c>
      <c r="E22" s="40">
        <v>542173</v>
      </c>
      <c r="F22" s="23">
        <f>BuNL!$G$45</f>
        <v>1</v>
      </c>
      <c r="G22" s="40" t="e">
        <f ca="1">SUMPRODUCT((BuNL!B8:BuNL!B36=$B$22)*(BuNL!P8:BuNL!P36=$J$22)*(BuNL!N8:BuNL!N36))</f>
        <v>#VALUE!</v>
      </c>
      <c r="H22" s="40"/>
      <c r="I22" s="40" t="e">
        <f>ROUND($E$22*IF($F$22=0,1,$F$22)+$G$22,0)</f>
        <v>#VALUE!</v>
      </c>
      <c r="J22" s="3" t="s">
        <v>202</v>
      </c>
    </row>
    <row r="23" spans="1:10" ht="31.5">
      <c r="A23" s="24">
        <v>17</v>
      </c>
      <c r="B23" s="60" t="s">
        <v>203</v>
      </c>
      <c r="C23" s="59" t="s">
        <v>171</v>
      </c>
      <c r="D23" s="23">
        <v>26.458</v>
      </c>
      <c r="E23" s="40">
        <v>1203284</v>
      </c>
      <c r="F23" s="23">
        <f>BuNL!$G$45</f>
        <v>1</v>
      </c>
      <c r="G23" s="40" t="e">
        <f ca="1">SUMPRODUCT((BuNL!B8:BuNL!B36=$B$23)*(BuNL!P8:BuNL!P36=$J$23)*(BuNL!N8:BuNL!N36))</f>
        <v>#VALUE!</v>
      </c>
      <c r="H23" s="40"/>
      <c r="I23" s="40" t="e">
        <f>ROUND($E$23*IF($F$23=0,1,$F$23)+$G$23,0)</f>
        <v>#VALUE!</v>
      </c>
      <c r="J23" s="3" t="s">
        <v>204</v>
      </c>
    </row>
    <row r="24" spans="1:10" ht="15.75">
      <c r="A24" s="24">
        <v>18</v>
      </c>
      <c r="B24" s="60" t="s">
        <v>205</v>
      </c>
      <c r="C24" s="59" t="s">
        <v>171</v>
      </c>
      <c r="D24" s="23">
        <v>5.512</v>
      </c>
      <c r="E24" s="40">
        <v>2500000</v>
      </c>
      <c r="F24" s="23">
        <f>BuNL!$G$45</f>
        <v>1</v>
      </c>
      <c r="G24" s="40" t="e">
        <f ca="1">SUMPRODUCT((BuNL!B8:BuNL!B36=$B$24)*(BuNL!P8:BuNL!P36=$J$24)*(BuNL!N8:BuNL!N36))</f>
        <v>#VALUE!</v>
      </c>
      <c r="H24" s="40"/>
      <c r="I24" s="40" t="e">
        <f>ROUND($E$24*IF($F$24=0,1,$F$24)+$G$24,0)</f>
        <v>#VALUE!</v>
      </c>
      <c r="J24" s="3" t="s">
        <v>206</v>
      </c>
    </row>
    <row r="25" spans="1:10" ht="15.75">
      <c r="A25" s="24">
        <v>19</v>
      </c>
      <c r="B25" s="60" t="s">
        <v>207</v>
      </c>
      <c r="C25" s="59" t="s">
        <v>171</v>
      </c>
      <c r="D25" s="23">
        <v>11.932</v>
      </c>
      <c r="E25" s="40">
        <v>3000000</v>
      </c>
      <c r="F25" s="23">
        <f>BuNL!$G$45</f>
        <v>1</v>
      </c>
      <c r="G25" s="40" t="e">
        <f ca="1">SUMPRODUCT((BuNL!B8:BuNL!B36=$B$25)*(BuNL!P8:BuNL!P36=$J$25)*(BuNL!N8:BuNL!N36))</f>
        <v>#VALUE!</v>
      </c>
      <c r="H25" s="40"/>
      <c r="I25" s="40" t="e">
        <f>ROUND($E$25*IF($F$25=0,1,$F$25)+$G$25,0)</f>
        <v>#VALUE!</v>
      </c>
      <c r="J25" s="3" t="s">
        <v>208</v>
      </c>
    </row>
    <row r="26" spans="1:10" ht="15.75">
      <c r="A26" s="24">
        <v>20</v>
      </c>
      <c r="B26" s="60" t="s">
        <v>209</v>
      </c>
      <c r="C26" s="59" t="s">
        <v>171</v>
      </c>
      <c r="D26" s="23">
        <v>0.086</v>
      </c>
      <c r="E26" s="40">
        <v>134780</v>
      </c>
      <c r="F26" s="23">
        <f>BuNL!$G$45</f>
        <v>1</v>
      </c>
      <c r="G26" s="40" t="e">
        <f ca="1">SUMPRODUCT((BuNL!B8:BuNL!B36=$B$26)*(BuNL!P8:BuNL!P36=$J$26)*(BuNL!N8:BuNL!N36))</f>
        <v>#VALUE!</v>
      </c>
      <c r="H26" s="40"/>
      <c r="I26" s="40" t="e">
        <f>ROUND($E$26*IF($F$26=0,1,$F$26)+$G$26,0)</f>
        <v>#VALUE!</v>
      </c>
      <c r="J26" s="3" t="s">
        <v>210</v>
      </c>
    </row>
    <row r="27" spans="1:10" ht="15.75">
      <c r="A27" s="24">
        <v>21</v>
      </c>
      <c r="B27" s="60" t="s">
        <v>211</v>
      </c>
      <c r="C27" s="59" t="s">
        <v>171</v>
      </c>
      <c r="D27" s="23">
        <v>28.482</v>
      </c>
      <c r="E27" s="40">
        <v>1100000</v>
      </c>
      <c r="F27" s="23">
        <f>BuNL!$G$45</f>
        <v>1</v>
      </c>
      <c r="G27" s="40" t="e">
        <f ca="1">SUMPRODUCT((BuNL!B8:BuNL!B36=$B$27)*(BuNL!P8:BuNL!P36=$J$27)*(BuNL!N8:BuNL!N36))</f>
        <v>#VALUE!</v>
      </c>
      <c r="H27" s="40"/>
      <c r="I27" s="40" t="e">
        <f>ROUND($E$27*IF($F$27=0,1,$F$27)+$G$27,0)</f>
        <v>#VALUE!</v>
      </c>
      <c r="J27" s="3" t="s">
        <v>212</v>
      </c>
    </row>
    <row r="28" spans="1:10" ht="15.75">
      <c r="A28" s="24">
        <v>22</v>
      </c>
      <c r="B28" s="60" t="s">
        <v>213</v>
      </c>
      <c r="C28" s="59" t="s">
        <v>171</v>
      </c>
      <c r="D28" s="23">
        <v>0.451</v>
      </c>
      <c r="E28" s="40">
        <v>1400000</v>
      </c>
      <c r="F28" s="23">
        <f>BuNL!$G$45</f>
        <v>1</v>
      </c>
      <c r="G28" s="40" t="e">
        <f ca="1">SUMPRODUCT((BuNL!B8:BuNL!B36=$B$28)*(BuNL!P8:BuNL!P36=$J$28)*(BuNL!N8:BuNL!N36))</f>
        <v>#VALUE!</v>
      </c>
      <c r="H28" s="40"/>
      <c r="I28" s="40" t="e">
        <f>ROUND($E$28*IF($F$28=0,1,$F$28)+$G$28,0)</f>
        <v>#VALUE!</v>
      </c>
      <c r="J28" s="3" t="s">
        <v>214</v>
      </c>
    </row>
    <row r="29" spans="1:10" ht="15.75">
      <c r="A29" s="24">
        <v>23</v>
      </c>
      <c r="B29" s="60" t="s">
        <v>215</v>
      </c>
      <c r="C29" s="59" t="s">
        <v>171</v>
      </c>
      <c r="D29" s="23">
        <v>1.627</v>
      </c>
      <c r="E29" s="40">
        <v>400000</v>
      </c>
      <c r="F29" s="23">
        <f>BuNL!$G$45</f>
        <v>1</v>
      </c>
      <c r="G29" s="40" t="e">
        <f ca="1">SUMPRODUCT((BuNL!B8:BuNL!B36=$B$29)*(BuNL!P8:BuNL!P36=$J$29)*(BuNL!N8:BuNL!N36))</f>
        <v>#VALUE!</v>
      </c>
      <c r="H29" s="40"/>
      <c r="I29" s="40" t="e">
        <f>ROUND($E$29*IF($F$29=0,1,$F$29)+$G$29,0)</f>
        <v>#VALUE!</v>
      </c>
      <c r="J29" s="3" t="s">
        <v>216</v>
      </c>
    </row>
    <row r="30" spans="1:10" ht="15.75">
      <c r="A30" s="24">
        <v>24</v>
      </c>
      <c r="B30" s="60" t="s">
        <v>217</v>
      </c>
      <c r="C30" s="59" t="s">
        <v>171</v>
      </c>
      <c r="D30" s="23">
        <v>0.405</v>
      </c>
      <c r="E30" s="40">
        <v>800000</v>
      </c>
      <c r="F30" s="23">
        <f>BuNL!$G$45</f>
        <v>1</v>
      </c>
      <c r="G30" s="40" t="e">
        <f ca="1">SUMPRODUCT((BuNL!B8:BuNL!B36=$B$30)*(BuNL!P8:BuNL!P36=$J$30)*(BuNL!N8:BuNL!N36))</f>
        <v>#VALUE!</v>
      </c>
      <c r="H30" s="40"/>
      <c r="I30" s="40" t="e">
        <f>ROUND($E$30*IF($F$30=0,1,$F$30)+$G$30,0)</f>
        <v>#VALUE!</v>
      </c>
      <c r="J30" s="3" t="s">
        <v>218</v>
      </c>
    </row>
    <row r="31" spans="1:10" ht="15.75">
      <c r="A31" s="24">
        <v>25</v>
      </c>
      <c r="B31" s="60" t="s">
        <v>219</v>
      </c>
      <c r="C31" s="59" t="s">
        <v>171</v>
      </c>
      <c r="D31" s="23">
        <v>0.175</v>
      </c>
      <c r="E31" s="40">
        <v>1000000</v>
      </c>
      <c r="F31" s="23">
        <f>BuNL!$G$45</f>
        <v>1</v>
      </c>
      <c r="G31" s="40" t="e">
        <f ca="1">SUMPRODUCT((BuNL!B8:BuNL!B36=$B$31)*(BuNL!P8:BuNL!P36=$J$31)*(BuNL!N8:BuNL!N36))</f>
        <v>#VALUE!</v>
      </c>
      <c r="H31" s="40"/>
      <c r="I31" s="40" t="e">
        <f>ROUND($E$31*IF($F$31=0,1,$F$31)+$G$31,0)</f>
        <v>#VALUE!</v>
      </c>
      <c r="J31" s="3" t="s">
        <v>220</v>
      </c>
    </row>
    <row r="32" spans="1:10" ht="31.5">
      <c r="A32" s="24">
        <v>26</v>
      </c>
      <c r="B32" s="60" t="s">
        <v>221</v>
      </c>
      <c r="C32" s="59" t="s">
        <v>171</v>
      </c>
      <c r="D32" s="23">
        <v>14.405</v>
      </c>
      <c r="E32" s="40">
        <v>2500000</v>
      </c>
      <c r="F32" s="23">
        <f>BuNL!$G$45</f>
        <v>1</v>
      </c>
      <c r="G32" s="40" t="e">
        <f ca="1">SUMPRODUCT((BuNL!B8:BuNL!B36=$B$32)*(BuNL!P8:BuNL!P36=$J$32)*(BuNL!N8:BuNL!N36))</f>
        <v>#VALUE!</v>
      </c>
      <c r="H32" s="40"/>
      <c r="I32" s="40" t="e">
        <f>ROUND($E$32*IF($F$32=0,1,$F$32)+$G$32,0)</f>
        <v>#VALUE!</v>
      </c>
      <c r="J32" s="3" t="s">
        <v>222</v>
      </c>
    </row>
    <row r="33" spans="1:10" ht="15.75">
      <c r="A33" s="24">
        <v>27</v>
      </c>
      <c r="B33" s="60" t="s">
        <v>223</v>
      </c>
      <c r="C33" s="59" t="s">
        <v>171</v>
      </c>
      <c r="D33" s="23">
        <v>25.596</v>
      </c>
      <c r="E33" s="40">
        <v>1000000</v>
      </c>
      <c r="F33" s="23">
        <f>BuNL!$G$45</f>
        <v>1</v>
      </c>
      <c r="G33" s="40" t="e">
        <f ca="1">SUMPRODUCT((BuNL!B8:BuNL!B36=$B$33)*(BuNL!P8:BuNL!P36=$J$33)*(BuNL!N8:BuNL!N36))</f>
        <v>#VALUE!</v>
      </c>
      <c r="H33" s="40"/>
      <c r="I33" s="40" t="e">
        <f>ROUND($E$33*IF($F$33=0,1,$F$33)+$G$33,0)</f>
        <v>#VALUE!</v>
      </c>
      <c r="J33" s="3" t="s">
        <v>224</v>
      </c>
    </row>
    <row r="34" spans="1:10" ht="15.75">
      <c r="A34" s="24">
        <v>28</v>
      </c>
      <c r="B34" s="60" t="s">
        <v>225</v>
      </c>
      <c r="C34" s="59" t="s">
        <v>171</v>
      </c>
      <c r="D34" s="23">
        <v>33.661</v>
      </c>
      <c r="E34" s="40">
        <v>51301</v>
      </c>
      <c r="F34" s="23">
        <f>BuNL!$G$45</f>
        <v>1</v>
      </c>
      <c r="G34" s="40" t="e">
        <f ca="1">SUMPRODUCT((BuNL!B8:BuNL!B36=$B$34)*(BuNL!P8:BuNL!P36=$J$34)*(BuNL!N8:BuNL!N36))</f>
        <v>#VALUE!</v>
      </c>
      <c r="H34" s="40"/>
      <c r="I34" s="40" t="e">
        <f>ROUND($E$34*IF($F$34=0,1,$F$34)+$G$34,0)</f>
        <v>#VALUE!</v>
      </c>
      <c r="J34" s="3" t="s">
        <v>226</v>
      </c>
    </row>
    <row r="35" spans="1:10" ht="15.75">
      <c r="A35" s="28">
        <v>29</v>
      </c>
      <c r="B35" s="62" t="s">
        <v>227</v>
      </c>
      <c r="C35" s="63" t="s">
        <v>171</v>
      </c>
      <c r="D35" s="27">
        <v>1.574</v>
      </c>
      <c r="E35" s="41">
        <v>100882</v>
      </c>
      <c r="F35" s="27">
        <f>BuNL!$G$45</f>
        <v>1</v>
      </c>
      <c r="G35" s="41" t="e">
        <f ca="1">SUMPRODUCT((BuNL!B8:BuNL!B36=$B$35)*(BuNL!P8:BuNL!P36=$J$35)*(BuNL!N8:BuNL!N36))</f>
        <v>#VALUE!</v>
      </c>
      <c r="H35" s="41"/>
      <c r="I35" s="41" t="e">
        <f>ROUND($E$35*IF($F$35=0,1,$F$35)+$G$35,0)</f>
        <v>#VALUE!</v>
      </c>
      <c r="J35" s="3" t="s">
        <v>228</v>
      </c>
    </row>
    <row r="37" ht="15.75">
      <c r="A37" s="1" t="s">
        <v>229</v>
      </c>
    </row>
    <row r="38" ht="15.75">
      <c r="A38" s="3" t="s">
        <v>230</v>
      </c>
    </row>
  </sheetData>
  <sheetProtection/>
  <mergeCells count="3">
    <mergeCell ref="A1:I1"/>
    <mergeCell ref="A2:I2"/>
    <mergeCell ref="A3:I3"/>
  </mergeCells>
  <printOptions horizontalCentered="1"/>
  <pageMargins left="0" right="0" top="0.4" bottom="0.5" header="0.5" footer="0.25"/>
  <pageSetup horizontalDpi="300" verticalDpi="300" orientation="landscape" paperSize="9" r:id="rId1"/>
  <headerFooter alignWithMargins="0">
    <oddFooter>&amp;R&amp;"Times New Roman"&amp;10 Trang &amp;P / &amp;N    *    tên công trình: xây dựng hạ tầng khu nhà ở thanh niên - hạng mục: đường bờ tây (đoạn nối từ cầu giáp quạ đến cuối tuyến)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N9" sqref="N9"/>
    </sheetView>
  </sheetViews>
  <sheetFormatPr defaultColWidth="9.140625" defaultRowHeight="12.75"/>
  <cols>
    <col min="1" max="1" width="5.7109375" style="3" customWidth="1"/>
    <col min="2" max="2" width="22.7109375" style="3" customWidth="1"/>
    <col min="3" max="3" width="7.7109375" style="3" customWidth="1"/>
    <col min="4" max="4" width="9.7109375" style="3" customWidth="1"/>
    <col min="5" max="12" width="7.7109375" style="3" customWidth="1"/>
    <col min="13" max="14" width="12.7109375" style="3" customWidth="1"/>
    <col min="15" max="15" width="12.7109375" style="3" hidden="1" customWidth="1"/>
    <col min="16" max="16" width="9.140625" style="3" hidden="1" customWidth="1"/>
    <col min="17" max="16384" width="9.140625" style="3" customWidth="1"/>
  </cols>
  <sheetData>
    <row r="1" spans="1:15" ht="22.5">
      <c r="A1" s="64" t="str">
        <f>Info!C7</f>
        <v>TỔNG HỢP CA MÁY - BÙ CHÊNH LỆCH NHIÊN LIỆU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8.75">
      <c r="A2" s="65" t="str">
        <f>"CÔNG TRÌNH: "&amp;Info!B1</f>
        <v>CÔNG TRÌNH: XÂY DỰNG HẠ TẦNG KHU NHÀ Ở THANH NIÊN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8.75">
      <c r="A3" s="65" t="str">
        <f>"HẠNG MỤC: "&amp;Info!B2</f>
        <v>HẠNG MỤC: ĐƯỜNG BỜ TÂY (ĐOẠN NỐI TỪ CẦU GIÁP QUẠ ĐẾN CUỐI TUYẾN)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5" spans="1:15" ht="15.75">
      <c r="A5" s="76" t="s">
        <v>37</v>
      </c>
      <c r="B5" s="76" t="s">
        <v>164</v>
      </c>
      <c r="C5" s="76" t="s">
        <v>43</v>
      </c>
      <c r="D5" s="76" t="s">
        <v>44</v>
      </c>
      <c r="E5" s="76" t="s">
        <v>231</v>
      </c>
      <c r="F5" s="76"/>
      <c r="G5" s="76"/>
      <c r="H5" s="76"/>
      <c r="I5" s="76" t="s">
        <v>232</v>
      </c>
      <c r="J5" s="76"/>
      <c r="K5" s="76"/>
      <c r="L5" s="76"/>
      <c r="M5" s="76" t="s">
        <v>165</v>
      </c>
      <c r="N5" s="76" t="s">
        <v>233</v>
      </c>
      <c r="O5" s="76" t="s">
        <v>234</v>
      </c>
    </row>
    <row r="6" spans="1:15" ht="15.75">
      <c r="A6" s="76"/>
      <c r="B6" s="76"/>
      <c r="C6" s="76"/>
      <c r="D6" s="76"/>
      <c r="E6" s="5" t="s">
        <v>235</v>
      </c>
      <c r="F6" s="5" t="s">
        <v>236</v>
      </c>
      <c r="G6" s="5" t="s">
        <v>237</v>
      </c>
      <c r="H6" s="5" t="s">
        <v>238</v>
      </c>
      <c r="I6" s="5" t="s">
        <v>235</v>
      </c>
      <c r="J6" s="5" t="s">
        <v>236</v>
      </c>
      <c r="K6" s="5" t="s">
        <v>237</v>
      </c>
      <c r="L6" s="5" t="s">
        <v>238</v>
      </c>
      <c r="M6" s="76"/>
      <c r="N6" s="76"/>
      <c r="O6" s="76"/>
    </row>
    <row r="7" spans="1:15" ht="15.75">
      <c r="A7" s="18" t="s">
        <v>50</v>
      </c>
      <c r="B7" s="18" t="s">
        <v>51</v>
      </c>
      <c r="C7" s="18" t="s">
        <v>52</v>
      </c>
      <c r="D7" s="18" t="s">
        <v>53</v>
      </c>
      <c r="E7" s="18" t="s">
        <v>54</v>
      </c>
      <c r="F7" s="18" t="s">
        <v>55</v>
      </c>
      <c r="G7" s="18" t="s">
        <v>56</v>
      </c>
      <c r="H7" s="18" t="s">
        <v>57</v>
      </c>
      <c r="I7" s="18" t="s">
        <v>58</v>
      </c>
      <c r="J7" s="18" t="s">
        <v>59</v>
      </c>
      <c r="K7" s="18" t="s">
        <v>60</v>
      </c>
      <c r="L7" s="18" t="s">
        <v>239</v>
      </c>
      <c r="M7" s="18" t="s">
        <v>240</v>
      </c>
      <c r="N7" s="18" t="s">
        <v>241</v>
      </c>
      <c r="O7" s="18" t="s">
        <v>242</v>
      </c>
    </row>
    <row r="8" spans="1:16" ht="15.75">
      <c r="A8" s="19">
        <v>1</v>
      </c>
      <c r="B8" s="57" t="s">
        <v>170</v>
      </c>
      <c r="C8" s="56" t="s">
        <v>171</v>
      </c>
      <c r="D8" s="21" t="e">
        <f ca="1">SUMPRODUCT((MAY!B7:MAY!B35=$B$8)*(MAY!J7:MAY!J35=$P$8)*(MAY!D7:MAY!D35))</f>
        <v>#VALUE!</v>
      </c>
      <c r="E8" s="22">
        <v>0</v>
      </c>
      <c r="F8" s="22">
        <v>0</v>
      </c>
      <c r="G8" s="22">
        <v>4.5</v>
      </c>
      <c r="H8" s="22">
        <v>0</v>
      </c>
      <c r="I8" s="22" t="e">
        <f>$D$8*$E$8</f>
        <v>#VALUE!</v>
      </c>
      <c r="J8" s="22" t="e">
        <f>$D$8*$F$8</f>
        <v>#VALUE!</v>
      </c>
      <c r="K8" s="22" t="e">
        <f>$D$8*$G$8</f>
        <v>#VALUE!</v>
      </c>
      <c r="L8" s="22" t="e">
        <f>$D$8*$H$8</f>
        <v>#VALUE!</v>
      </c>
      <c r="M8" s="36">
        <v>50069</v>
      </c>
      <c r="N8" s="36">
        <f>$E$8*($F$41-$B$41)*(1+$C$45)+$F$8*($G$41-$C$41)*(1+$D$45)+$G$8*($H$41-$D$41)*(1+$E$45)+$H$8*($I$41-$E$41)*(1+$F$45)</f>
        <v>4815</v>
      </c>
      <c r="O8" s="19"/>
      <c r="P8" s="3" t="s">
        <v>172</v>
      </c>
    </row>
    <row r="9" spans="1:16" ht="15.75">
      <c r="A9" s="23">
        <v>2</v>
      </c>
      <c r="B9" s="60" t="s">
        <v>173</v>
      </c>
      <c r="C9" s="59" t="s">
        <v>171</v>
      </c>
      <c r="D9" s="25" t="e">
        <f ca="1">SUMPRODUCT((MAY!B7:MAY!B35=$B$9)*(MAY!J7:MAY!J35=$P$9)*(MAY!D7:MAY!D35))</f>
        <v>#VALUE!</v>
      </c>
      <c r="E9" s="26">
        <v>0</v>
      </c>
      <c r="F9" s="26">
        <v>0</v>
      </c>
      <c r="G9" s="26">
        <v>6.75</v>
      </c>
      <c r="H9" s="26">
        <v>0</v>
      </c>
      <c r="I9" s="26" t="e">
        <f>$D$9*$E$9</f>
        <v>#VALUE!</v>
      </c>
      <c r="J9" s="26" t="e">
        <f>$D$9*$F$9</f>
        <v>#VALUE!</v>
      </c>
      <c r="K9" s="26" t="e">
        <f>$D$9*$G$9</f>
        <v>#VALUE!</v>
      </c>
      <c r="L9" s="26" t="e">
        <f>$D$9*$H$9</f>
        <v>#VALUE!</v>
      </c>
      <c r="M9" s="37">
        <v>55944</v>
      </c>
      <c r="N9" s="37">
        <f>$E$9*($F$41-$B$41)*(1+$C$45)+$F$9*($G$41-$C$41)*(1+$D$45)+$G$9*($H$41-$D$41)*(1+$E$45)+$H$9*($I$41-$E$41)*(1+$F$45)</f>
        <v>7223</v>
      </c>
      <c r="O9" s="23"/>
      <c r="P9" s="3" t="s">
        <v>174</v>
      </c>
    </row>
    <row r="10" spans="1:16" ht="15.75">
      <c r="A10" s="23">
        <v>3</v>
      </c>
      <c r="B10" s="60" t="s">
        <v>175</v>
      </c>
      <c r="C10" s="59" t="s">
        <v>171</v>
      </c>
      <c r="D10" s="25" t="e">
        <f ca="1">SUMPRODUCT((MAY!B7:MAY!B35=$B$10)*(MAY!J7:MAY!J35=$P$10)*(MAY!D7:MAY!D35))</f>
        <v>#VALUE!</v>
      </c>
      <c r="E10" s="26">
        <v>67.2</v>
      </c>
      <c r="F10" s="26">
        <v>0</v>
      </c>
      <c r="G10" s="26">
        <v>0</v>
      </c>
      <c r="H10" s="26">
        <v>0</v>
      </c>
      <c r="I10" s="26" t="e">
        <f>$D$10*$E$10</f>
        <v>#VALUE!</v>
      </c>
      <c r="J10" s="26" t="e">
        <f>$D$10*$F$10</f>
        <v>#VALUE!</v>
      </c>
      <c r="K10" s="26" t="e">
        <f>$D$10*$G$10</f>
        <v>#VALUE!</v>
      </c>
      <c r="L10" s="26" t="e">
        <f>$D$10*$H$10</f>
        <v>#VALUE!</v>
      </c>
      <c r="M10" s="37">
        <v>1487079</v>
      </c>
      <c r="N10" s="37">
        <f>$E$10*($F$41-$B$41)*(1+$C$45)+$F$10*($G$41-$C$41)*(1+$D$45)+$G$10*($H$41-$D$41)*(1+$E$45)+$H$10*($I$41-$E$41)*(1+$F$45)</f>
        <v>692335</v>
      </c>
      <c r="O10" s="23"/>
      <c r="P10" s="3" t="s">
        <v>176</v>
      </c>
    </row>
    <row r="11" spans="1:16" ht="15.75">
      <c r="A11" s="23">
        <v>4</v>
      </c>
      <c r="B11" s="60" t="s">
        <v>177</v>
      </c>
      <c r="C11" s="59" t="s">
        <v>171</v>
      </c>
      <c r="D11" s="25" t="e">
        <f ca="1">SUMPRODUCT((MAY!B7:MAY!B35=$B$11)*(MAY!J7:MAY!J35=$P$11)*(MAY!D7:MAY!D35))</f>
        <v>#VALUE!</v>
      </c>
      <c r="E11" s="26">
        <v>10.54</v>
      </c>
      <c r="F11" s="26">
        <v>0</v>
      </c>
      <c r="G11" s="26">
        <v>0</v>
      </c>
      <c r="H11" s="26">
        <v>0</v>
      </c>
      <c r="I11" s="26" t="e">
        <f>$D$11*$E$11</f>
        <v>#VALUE!</v>
      </c>
      <c r="J11" s="26" t="e">
        <f>$D$11*$F$11</f>
        <v>#VALUE!</v>
      </c>
      <c r="K11" s="26" t="e">
        <f>$D$11*$G$11</f>
        <v>#VALUE!</v>
      </c>
      <c r="L11" s="26" t="e">
        <f>$D$11*$H$11</f>
        <v>#VALUE!</v>
      </c>
      <c r="M11" s="37">
        <v>437307</v>
      </c>
      <c r="N11" s="37">
        <f>$E$11*($F$41-$B$41)*(1+$C$45)+$F$11*($G$41-$C$41)*(1+$D$45)+$G$11*($H$41-$D$41)*(1+$E$45)+$H$11*($I$41-$E$41)*(1+$F$45)</f>
        <v>108589</v>
      </c>
      <c r="O11" s="23"/>
      <c r="P11" s="3" t="s">
        <v>178</v>
      </c>
    </row>
    <row r="12" spans="1:16" ht="31.5">
      <c r="A12" s="23">
        <v>5</v>
      </c>
      <c r="B12" s="60" t="s">
        <v>179</v>
      </c>
      <c r="C12" s="59" t="s">
        <v>171</v>
      </c>
      <c r="D12" s="25" t="e">
        <f ca="1">SUMPRODUCT((MAY!B7:MAY!B35=$B$12)*(MAY!J7:MAY!J35=$P$12)*(MAY!D7:MAY!D35))</f>
        <v>#VALUE!</v>
      </c>
      <c r="E12" s="26">
        <v>0</v>
      </c>
      <c r="F12" s="26">
        <v>0</v>
      </c>
      <c r="G12" s="26">
        <v>5.04</v>
      </c>
      <c r="H12" s="26">
        <v>0</v>
      </c>
      <c r="I12" s="26" t="e">
        <f>$D$12*$E$12</f>
        <v>#VALUE!</v>
      </c>
      <c r="J12" s="26" t="e">
        <f>$D$12*$F$12</f>
        <v>#VALUE!</v>
      </c>
      <c r="K12" s="26" t="e">
        <f>$D$12*$G$12</f>
        <v>#VALUE!</v>
      </c>
      <c r="L12" s="26" t="e">
        <f>$D$12*$H$12</f>
        <v>#VALUE!</v>
      </c>
      <c r="M12" s="37">
        <v>74186</v>
      </c>
      <c r="N12" s="37">
        <f>$E$12*($F$41-$B$41)*(1+$C$45)+$F$12*($G$41-$C$41)*(1+$D$45)+$G$12*($H$41-$D$41)*(1+$E$45)+$H$12*($I$41-$E$41)*(1+$F$45)</f>
        <v>5393</v>
      </c>
      <c r="O12" s="23"/>
      <c r="P12" s="3" t="s">
        <v>180</v>
      </c>
    </row>
    <row r="13" spans="1:16" ht="31.5">
      <c r="A13" s="23">
        <v>6</v>
      </c>
      <c r="B13" s="60" t="s">
        <v>181</v>
      </c>
      <c r="C13" s="59" t="s">
        <v>171</v>
      </c>
      <c r="D13" s="25" t="e">
        <f ca="1">SUMPRODUCT((MAY!B7:MAY!B35=$B$13)*(MAY!J7:MAY!J35=$P$13)*(MAY!D7:MAY!D35))</f>
        <v>#VALUE!</v>
      </c>
      <c r="E13" s="26">
        <v>0</v>
      </c>
      <c r="F13" s="26">
        <v>0</v>
      </c>
      <c r="G13" s="26">
        <v>9</v>
      </c>
      <c r="H13" s="26">
        <v>0</v>
      </c>
      <c r="I13" s="26" t="e">
        <f>$D$13*$E$13</f>
        <v>#VALUE!</v>
      </c>
      <c r="J13" s="26" t="e">
        <f>$D$13*$F$13</f>
        <v>#VALUE!</v>
      </c>
      <c r="K13" s="26" t="e">
        <f>$D$13*$G$13</f>
        <v>#VALUE!</v>
      </c>
      <c r="L13" s="26" t="e">
        <f>$D$13*$H$13</f>
        <v>#VALUE!</v>
      </c>
      <c r="M13" s="37">
        <v>54954</v>
      </c>
      <c r="N13" s="37">
        <f>$E$13*($F$41-$B$41)*(1+$C$45)+$F$13*($G$41-$C$41)*(1+$D$45)+$G$13*($H$41-$D$41)*(1+$E$45)+$H$13*($I$41-$E$41)*(1+$F$45)</f>
        <v>9630</v>
      </c>
      <c r="O13" s="23"/>
      <c r="P13" s="3" t="s">
        <v>182</v>
      </c>
    </row>
    <row r="14" spans="1:16" ht="15.75">
      <c r="A14" s="23">
        <v>7</v>
      </c>
      <c r="B14" s="60" t="s">
        <v>183</v>
      </c>
      <c r="C14" s="59" t="s">
        <v>171</v>
      </c>
      <c r="D14" s="25" t="e">
        <f ca="1">SUMPRODUCT((MAY!B7:MAY!B35=$B$14)*(MAY!J7:MAY!J35=$P$14)*(MAY!D7:MAY!D35))</f>
        <v>#VALUE!</v>
      </c>
      <c r="E14" s="26">
        <v>64.8</v>
      </c>
      <c r="F14" s="26">
        <v>0</v>
      </c>
      <c r="G14" s="26">
        <v>0</v>
      </c>
      <c r="H14" s="26">
        <v>0</v>
      </c>
      <c r="I14" s="26" t="e">
        <f>$D$14*$E$14</f>
        <v>#VALUE!</v>
      </c>
      <c r="J14" s="26" t="e">
        <f>$D$14*$F$14</f>
        <v>#VALUE!</v>
      </c>
      <c r="K14" s="26" t="e">
        <f>$D$14*$G$14</f>
        <v>#VALUE!</v>
      </c>
      <c r="L14" s="26" t="e">
        <f>$D$14*$H$14</f>
        <v>#VALUE!</v>
      </c>
      <c r="M14" s="37">
        <v>1171728</v>
      </c>
      <c r="N14" s="37">
        <f>$E$14*($F$41-$B$41)*(1+$C$45)+$F$14*($G$41-$C$41)*(1+$D$45)+$G$14*($H$41-$D$41)*(1+$E$45)+$H$14*($I$41-$E$41)*(1+$F$45)</f>
        <v>667608</v>
      </c>
      <c r="O14" s="23"/>
      <c r="P14" s="3" t="s">
        <v>184</v>
      </c>
    </row>
    <row r="15" spans="1:16" ht="15.75">
      <c r="A15" s="23">
        <v>8</v>
      </c>
      <c r="B15" s="60" t="s">
        <v>185</v>
      </c>
      <c r="C15" s="59" t="s">
        <v>171</v>
      </c>
      <c r="D15" s="25" t="e">
        <f ca="1">SUMPRODUCT((MAY!B7:MAY!B35=$B$15)*(MAY!J7:MAY!J35=$P$15)*(MAY!D7:MAY!D35))</f>
        <v>#VALUE!</v>
      </c>
      <c r="E15" s="26">
        <v>0</v>
      </c>
      <c r="F15" s="26">
        <v>0</v>
      </c>
      <c r="G15" s="26">
        <v>48.3</v>
      </c>
      <c r="H15" s="26">
        <v>0</v>
      </c>
      <c r="I15" s="26" t="e">
        <f>$D$15*$E$15</f>
        <v>#VALUE!</v>
      </c>
      <c r="J15" s="26" t="e">
        <f>$D$15*$F$15</f>
        <v>#VALUE!</v>
      </c>
      <c r="K15" s="26" t="e">
        <f>$D$15*$G$15</f>
        <v>#VALUE!</v>
      </c>
      <c r="L15" s="26" t="e">
        <f>$D$15*$H$15</f>
        <v>#VALUE!</v>
      </c>
      <c r="M15" s="37">
        <v>104624</v>
      </c>
      <c r="N15" s="37">
        <f>$E$15*($F$41-$B$41)*(1+$C$45)+$F$15*($G$41-$C$41)*(1+$D$45)+$G$15*($H$41-$D$41)*(1+$E$45)+$H$15*($I$41-$E$41)*(1+$F$45)</f>
        <v>51681</v>
      </c>
      <c r="O15" s="23"/>
      <c r="P15" s="3" t="s">
        <v>186</v>
      </c>
    </row>
    <row r="16" spans="1:16" ht="15.75">
      <c r="A16" s="23">
        <v>9</v>
      </c>
      <c r="B16" s="60" t="s">
        <v>187</v>
      </c>
      <c r="C16" s="59" t="s">
        <v>171</v>
      </c>
      <c r="D16" s="25" t="e">
        <f ca="1">SUMPRODUCT((MAY!B7:MAY!B35=$B$16)*(MAY!J7:MAY!J35=$P$16)*(MAY!D7:MAY!D35))</f>
        <v>#VALUE!</v>
      </c>
      <c r="E16" s="26">
        <v>0</v>
      </c>
      <c r="F16" s="26">
        <v>0</v>
      </c>
      <c r="G16" s="26">
        <v>5.3</v>
      </c>
      <c r="H16" s="26">
        <v>0</v>
      </c>
      <c r="I16" s="26" t="e">
        <f>$D$16*$E$16</f>
        <v>#VALUE!</v>
      </c>
      <c r="J16" s="26" t="e">
        <f>$D$16*$F$16</f>
        <v>#VALUE!</v>
      </c>
      <c r="K16" s="26" t="e">
        <f>$D$16*$G$16</f>
        <v>#VALUE!</v>
      </c>
      <c r="L16" s="26" t="e">
        <f>$D$16*$H$16</f>
        <v>#VALUE!</v>
      </c>
      <c r="M16" s="37">
        <v>65447</v>
      </c>
      <c r="N16" s="37">
        <f>$E$16*($F$41-$B$41)*(1+$C$45)+$F$16*($G$41-$C$41)*(1+$D$45)+$G$16*($H$41-$D$41)*(1+$E$45)+$H$16*($I$41-$E$41)*(1+$F$45)</f>
        <v>5671</v>
      </c>
      <c r="O16" s="23"/>
      <c r="P16" s="3" t="s">
        <v>188</v>
      </c>
    </row>
    <row r="17" spans="1:16" ht="15.75">
      <c r="A17" s="23">
        <v>10</v>
      </c>
      <c r="B17" s="60" t="s">
        <v>189</v>
      </c>
      <c r="C17" s="59" t="s">
        <v>171</v>
      </c>
      <c r="D17" s="25" t="e">
        <f ca="1">SUMPRODUCT((MAY!B7:MAY!B35=$B$17)*(MAY!J7:MAY!J35=$P$17)*(MAY!D7:MAY!D35))</f>
        <v>#VALUE!</v>
      </c>
      <c r="E17" s="26">
        <v>40.32</v>
      </c>
      <c r="F17" s="26">
        <v>0</v>
      </c>
      <c r="G17" s="26">
        <v>0</v>
      </c>
      <c r="H17" s="26">
        <v>0</v>
      </c>
      <c r="I17" s="26" t="e">
        <f>$D$17*$E$17</f>
        <v>#VALUE!</v>
      </c>
      <c r="J17" s="26" t="e">
        <f>$D$17*$F$17</f>
        <v>#VALUE!</v>
      </c>
      <c r="K17" s="26" t="e">
        <f>$D$17*$G$17</f>
        <v>#VALUE!</v>
      </c>
      <c r="L17" s="26" t="e">
        <f>$D$17*$H$17</f>
        <v>#VALUE!</v>
      </c>
      <c r="M17" s="37">
        <v>529034</v>
      </c>
      <c r="N17" s="37">
        <f>$E$17*($F$41-$B$41)*(1+$C$45)+$F$17*($G$41-$C$41)*(1+$D$45)+$G$17*($H$41-$D$41)*(1+$E$45)+$H$17*($I$41-$E$41)*(1+$F$45)</f>
        <v>415401</v>
      </c>
      <c r="O17" s="23"/>
      <c r="P17" s="3" t="s">
        <v>190</v>
      </c>
    </row>
    <row r="18" spans="1:16" ht="15.75">
      <c r="A18" s="23">
        <v>11</v>
      </c>
      <c r="B18" s="60" t="s">
        <v>191</v>
      </c>
      <c r="C18" s="59" t="s">
        <v>171</v>
      </c>
      <c r="D18" s="25" t="e">
        <f ca="1">SUMPRODUCT((MAY!B7:MAY!B35=$B$18)*(MAY!J7:MAY!J35=$P$18)*(MAY!D7:MAY!D35))</f>
        <v>#VALUE!</v>
      </c>
      <c r="E18" s="26">
        <v>24</v>
      </c>
      <c r="F18" s="26">
        <v>0</v>
      </c>
      <c r="G18" s="26">
        <v>0</v>
      </c>
      <c r="H18" s="26">
        <v>0</v>
      </c>
      <c r="I18" s="26" t="e">
        <f>$D$18*$E$18</f>
        <v>#VALUE!</v>
      </c>
      <c r="J18" s="26" t="e">
        <f>$D$18*$F$18</f>
        <v>#VALUE!</v>
      </c>
      <c r="K18" s="26" t="e">
        <f>$D$18*$G$18</f>
        <v>#VALUE!</v>
      </c>
      <c r="L18" s="26" t="e">
        <f>$D$18*$H$18</f>
        <v>#VALUE!</v>
      </c>
      <c r="M18" s="37">
        <v>353952</v>
      </c>
      <c r="N18" s="37">
        <f>$E$18*($F$41-$B$41)*(1+$C$45)+$F$18*($G$41-$C$41)*(1+$D$45)+$G$18*($H$41-$D$41)*(1+$E$45)+$H$18*($I$41-$E$41)*(1+$F$45)</f>
        <v>247262</v>
      </c>
      <c r="O18" s="23"/>
      <c r="P18" s="3" t="s">
        <v>192</v>
      </c>
    </row>
    <row r="19" spans="1:16" ht="31.5">
      <c r="A19" s="23">
        <v>12</v>
      </c>
      <c r="B19" s="60" t="s">
        <v>193</v>
      </c>
      <c r="C19" s="59" t="s">
        <v>171</v>
      </c>
      <c r="D19" s="25" t="e">
        <f ca="1">SUMPRODUCT((MAY!B7:MAY!B35=$B$19)*(MAY!J7:MAY!J35=$P$19)*(MAY!D7:MAY!D35))</f>
        <v>#VALUE!</v>
      </c>
      <c r="E19" s="26">
        <v>40.32</v>
      </c>
      <c r="F19" s="26">
        <v>0</v>
      </c>
      <c r="G19" s="26">
        <v>0</v>
      </c>
      <c r="H19" s="26">
        <v>0</v>
      </c>
      <c r="I19" s="26" t="e">
        <f>$D$19*$E$19</f>
        <v>#VALUE!</v>
      </c>
      <c r="J19" s="26" t="e">
        <f>$D$19*$F$19</f>
        <v>#VALUE!</v>
      </c>
      <c r="K19" s="26" t="e">
        <f>$D$19*$G$19</f>
        <v>#VALUE!</v>
      </c>
      <c r="L19" s="26" t="e">
        <f>$D$19*$H$19</f>
        <v>#VALUE!</v>
      </c>
      <c r="M19" s="37">
        <v>529034</v>
      </c>
      <c r="N19" s="37">
        <f>$E$19*($F$41-$B$41)*(1+$C$45)+$F$19*($G$41-$C$41)*(1+$D$45)+$G$19*($H$41-$D$41)*(1+$E$45)+$H$19*($I$41-$E$41)*(1+$F$45)</f>
        <v>415401</v>
      </c>
      <c r="O19" s="23"/>
      <c r="P19" s="3" t="s">
        <v>194</v>
      </c>
    </row>
    <row r="20" spans="1:16" ht="15.75">
      <c r="A20" s="23">
        <v>13</v>
      </c>
      <c r="B20" s="60" t="s">
        <v>195</v>
      </c>
      <c r="C20" s="59" t="s">
        <v>171</v>
      </c>
      <c r="D20" s="25" t="e">
        <f ca="1">SUMPRODUCT((MAY!B7:MAY!B35=$B$20)*(MAY!J7:MAY!J35=$P$20)*(MAY!D7:MAY!D35))</f>
        <v>#VALUE!</v>
      </c>
      <c r="E20" s="26">
        <v>67.2</v>
      </c>
      <c r="F20" s="26">
        <v>0</v>
      </c>
      <c r="G20" s="26">
        <v>0</v>
      </c>
      <c r="H20" s="26">
        <v>0</v>
      </c>
      <c r="I20" s="26" t="e">
        <f>$D$20*$E$20</f>
        <v>#VALUE!</v>
      </c>
      <c r="J20" s="26" t="e">
        <f>$D$20*$F$20</f>
        <v>#VALUE!</v>
      </c>
      <c r="K20" s="26" t="e">
        <f>$D$20*$G$20</f>
        <v>#VALUE!</v>
      </c>
      <c r="L20" s="26" t="e">
        <f>$D$20*$H$20</f>
        <v>#VALUE!</v>
      </c>
      <c r="M20" s="37">
        <v>1487079</v>
      </c>
      <c r="N20" s="37">
        <f>$E$20*($F$41-$B$41)*(1+$C$45)+$F$20*($G$41-$C$41)*(1+$D$45)+$G$20*($H$41-$D$41)*(1+$E$45)+$H$20*($I$41-$E$41)*(1+$F$45)</f>
        <v>692335</v>
      </c>
      <c r="O20" s="23"/>
      <c r="P20" s="3" t="s">
        <v>196</v>
      </c>
    </row>
    <row r="21" spans="1:16" ht="15.75">
      <c r="A21" s="23">
        <v>14</v>
      </c>
      <c r="B21" s="60" t="s">
        <v>197</v>
      </c>
      <c r="C21" s="59" t="s">
        <v>171</v>
      </c>
      <c r="D21" s="25" t="e">
        <f ca="1">SUMPRODUCT((MAY!B7:MAY!B35=$B$21)*(MAY!J7:MAY!J35=$P$21)*(MAY!D7:MAY!D35))</f>
        <v>#VALUE!</v>
      </c>
      <c r="E21" s="26">
        <v>0</v>
      </c>
      <c r="F21" s="26">
        <v>0</v>
      </c>
      <c r="G21" s="26">
        <v>1.8</v>
      </c>
      <c r="H21" s="26">
        <v>0</v>
      </c>
      <c r="I21" s="26" t="e">
        <f>$D$21*$E$21</f>
        <v>#VALUE!</v>
      </c>
      <c r="J21" s="26" t="e">
        <f>$D$21*$F$21</f>
        <v>#VALUE!</v>
      </c>
      <c r="K21" s="26" t="e">
        <f>$D$21*$G$21</f>
        <v>#VALUE!</v>
      </c>
      <c r="L21" s="26" t="e">
        <f>$D$21*$H$21</f>
        <v>#VALUE!</v>
      </c>
      <c r="M21" s="37">
        <v>42399</v>
      </c>
      <c r="N21" s="37">
        <f>$E$21*($F$41-$B$41)*(1+$C$45)+$F$21*($G$41-$C$41)*(1+$D$45)+$G$21*($H$41-$D$41)*(1+$E$45)+$H$21*($I$41-$E$41)*(1+$F$45)</f>
        <v>1926</v>
      </c>
      <c r="O21" s="23"/>
      <c r="P21" s="3" t="s">
        <v>198</v>
      </c>
    </row>
    <row r="22" spans="1:16" ht="15.75">
      <c r="A22" s="23">
        <v>15</v>
      </c>
      <c r="B22" s="60" t="s">
        <v>199</v>
      </c>
      <c r="C22" s="59" t="s">
        <v>171</v>
      </c>
      <c r="D22" s="25" t="e">
        <f ca="1">SUMPRODUCT((MAY!B7:MAY!B35=$B$22)*(MAY!J7:MAY!J35=$P$22)*(MAY!D7:MAY!D35))</f>
        <v>#VALUE!</v>
      </c>
      <c r="E22" s="26">
        <v>0</v>
      </c>
      <c r="F22" s="26">
        <v>0</v>
      </c>
      <c r="G22" s="26">
        <v>4.05</v>
      </c>
      <c r="H22" s="26">
        <v>0</v>
      </c>
      <c r="I22" s="26" t="e">
        <f>$D$22*$E$22</f>
        <v>#VALUE!</v>
      </c>
      <c r="J22" s="26" t="e">
        <f>$D$22*$F$22</f>
        <v>#VALUE!</v>
      </c>
      <c r="K22" s="26" t="e">
        <f>$D$22*$G$22</f>
        <v>#VALUE!</v>
      </c>
      <c r="L22" s="26" t="e">
        <f>$D$22*$H$22</f>
        <v>#VALUE!</v>
      </c>
      <c r="M22" s="37">
        <v>47981</v>
      </c>
      <c r="N22" s="37">
        <f>$E$22*($F$41-$B$41)*(1+$C$45)+$F$22*($G$41-$C$41)*(1+$D$45)+$G$22*($H$41-$D$41)*(1+$E$45)+$H$22*($I$41-$E$41)*(1+$F$45)</f>
        <v>4334</v>
      </c>
      <c r="O22" s="23"/>
      <c r="P22" s="3" t="s">
        <v>200</v>
      </c>
    </row>
    <row r="23" spans="1:16" ht="31.5">
      <c r="A23" s="23">
        <v>16</v>
      </c>
      <c r="B23" s="60" t="s">
        <v>201</v>
      </c>
      <c r="C23" s="59" t="s">
        <v>171</v>
      </c>
      <c r="D23" s="25" t="e">
        <f ca="1">SUMPRODUCT((MAY!B7:MAY!B35=$B$23)*(MAY!J7:MAY!J35=$P$23)*(MAY!D7:MAY!D35))</f>
        <v>#VALUE!</v>
      </c>
      <c r="E23" s="26">
        <v>38.4</v>
      </c>
      <c r="F23" s="26">
        <v>0</v>
      </c>
      <c r="G23" s="26">
        <v>0</v>
      </c>
      <c r="H23" s="26">
        <v>0</v>
      </c>
      <c r="I23" s="26" t="e">
        <f>$D$23*$E$23</f>
        <v>#VALUE!</v>
      </c>
      <c r="J23" s="26" t="e">
        <f>$D$23*$F$23</f>
        <v>#VALUE!</v>
      </c>
      <c r="K23" s="26" t="e">
        <f>$D$23*$G$23</f>
        <v>#VALUE!</v>
      </c>
      <c r="L23" s="26" t="e">
        <f>$D$23*$H$23</f>
        <v>#VALUE!</v>
      </c>
      <c r="M23" s="37">
        <v>542173</v>
      </c>
      <c r="N23" s="37">
        <f>$E$23*($F$41-$B$41)*(1+$C$45)+$F$23*($G$41-$C$41)*(1+$D$45)+$G$23*($H$41-$D$41)*(1+$E$45)+$H$23*($I$41-$E$41)*(1+$F$45)</f>
        <v>395620</v>
      </c>
      <c r="O23" s="23"/>
      <c r="P23" s="3" t="s">
        <v>202</v>
      </c>
    </row>
    <row r="24" spans="1:16" ht="31.5">
      <c r="A24" s="23">
        <v>17</v>
      </c>
      <c r="B24" s="60" t="s">
        <v>203</v>
      </c>
      <c r="C24" s="59" t="s">
        <v>171</v>
      </c>
      <c r="D24" s="25" t="e">
        <f ca="1">SUMPRODUCT((MAY!B7:MAY!B35=$B$24)*(MAY!J7:MAY!J35=$P$24)*(MAY!D7:MAY!D35))</f>
        <v>#VALUE!</v>
      </c>
      <c r="E24" s="26">
        <v>57</v>
      </c>
      <c r="F24" s="26">
        <v>0</v>
      </c>
      <c r="G24" s="26">
        <v>0</v>
      </c>
      <c r="H24" s="26">
        <v>0</v>
      </c>
      <c r="I24" s="26" t="e">
        <f>$D$24*$E$24</f>
        <v>#VALUE!</v>
      </c>
      <c r="J24" s="26" t="e">
        <f>$D$24*$F$24</f>
        <v>#VALUE!</v>
      </c>
      <c r="K24" s="26" t="e">
        <f>$D$24*$G$24</f>
        <v>#VALUE!</v>
      </c>
      <c r="L24" s="26" t="e">
        <f>$D$24*$H$24</f>
        <v>#VALUE!</v>
      </c>
      <c r="M24" s="37">
        <v>1203284</v>
      </c>
      <c r="N24" s="37">
        <f>$E$24*($F$41-$B$41)*(1+$C$45)+$F$24*($G$41-$C$41)*(1+$D$45)+$G$24*($H$41-$D$41)*(1+$E$45)+$H$24*($I$41-$E$41)*(1+$F$45)</f>
        <v>587248</v>
      </c>
      <c r="O24" s="23"/>
      <c r="P24" s="3" t="s">
        <v>204</v>
      </c>
    </row>
    <row r="25" spans="1:16" ht="15.75">
      <c r="A25" s="23">
        <v>18</v>
      </c>
      <c r="B25" s="60" t="s">
        <v>205</v>
      </c>
      <c r="C25" s="59" t="s">
        <v>171</v>
      </c>
      <c r="D25" s="25" t="e">
        <f ca="1">SUMPRODUCT((MAY!B7:MAY!B35=$B$25)*(MAY!J7:MAY!J35=$P$25)*(MAY!D7:MAY!D35))</f>
        <v>#VALUE!</v>
      </c>
      <c r="E25" s="26">
        <v>47.9</v>
      </c>
      <c r="F25" s="26">
        <v>0</v>
      </c>
      <c r="G25" s="26">
        <v>0</v>
      </c>
      <c r="H25" s="26">
        <v>0</v>
      </c>
      <c r="I25" s="26" t="e">
        <f>$D$25*$E$25</f>
        <v>#VALUE!</v>
      </c>
      <c r="J25" s="26" t="e">
        <f>$D$25*$F$25</f>
        <v>#VALUE!</v>
      </c>
      <c r="K25" s="26" t="e">
        <f>$D$25*$G$25</f>
        <v>#VALUE!</v>
      </c>
      <c r="L25" s="26" t="e">
        <f>$D$25*$H$25</f>
        <v>#VALUE!</v>
      </c>
      <c r="M25" s="37">
        <v>1788737</v>
      </c>
      <c r="N25" s="37">
        <f>$E$25*($F$41-$B$41)*(1+$C$45)+$F$25*($G$41-$C$41)*(1+$D$45)+$G$25*($H$41-$D$41)*(1+$E$45)+$H$25*($I$41-$E$41)*(1+$F$45)</f>
        <v>493495</v>
      </c>
      <c r="O25" s="23"/>
      <c r="P25" s="3" t="s">
        <v>206</v>
      </c>
    </row>
    <row r="26" spans="1:16" ht="15.75">
      <c r="A26" s="23">
        <v>19</v>
      </c>
      <c r="B26" s="60" t="s">
        <v>207</v>
      </c>
      <c r="C26" s="59" t="s">
        <v>171</v>
      </c>
      <c r="D26" s="25" t="e">
        <f ca="1">SUMPRODUCT((MAY!B7:MAY!B35=$B$26)*(MAY!J7:MAY!J35=$P$26)*(MAY!D7:MAY!D35))</f>
        <v>#VALUE!</v>
      </c>
      <c r="E26" s="26">
        <v>38.88</v>
      </c>
      <c r="F26" s="26">
        <v>0</v>
      </c>
      <c r="G26" s="26">
        <v>0</v>
      </c>
      <c r="H26" s="26">
        <v>0</v>
      </c>
      <c r="I26" s="26" t="e">
        <f>$D$26*$E$26</f>
        <v>#VALUE!</v>
      </c>
      <c r="J26" s="26" t="e">
        <f>$D$26*$F$26</f>
        <v>#VALUE!</v>
      </c>
      <c r="K26" s="26" t="e">
        <f>$D$26*$G$26</f>
        <v>#VALUE!</v>
      </c>
      <c r="L26" s="26" t="e">
        <f>$D$26*$H$26</f>
        <v>#VALUE!</v>
      </c>
      <c r="M26" s="37">
        <v>817979</v>
      </c>
      <c r="N26" s="37">
        <f>$E$26*($F$41-$B$41)*(1+$C$45)+$F$26*($G$41-$C$41)*(1+$D$45)+$G$26*($H$41-$D$41)*(1+$E$45)+$H$26*($I$41-$E$41)*(1+$F$45)</f>
        <v>400565</v>
      </c>
      <c r="O26" s="23"/>
      <c r="P26" s="3" t="s">
        <v>208</v>
      </c>
    </row>
    <row r="27" spans="1:16" ht="15.75">
      <c r="A27" s="23">
        <v>20</v>
      </c>
      <c r="B27" s="60" t="s">
        <v>209</v>
      </c>
      <c r="C27" s="59" t="s">
        <v>171</v>
      </c>
      <c r="D27" s="25" t="e">
        <f ca="1">SUMPRODUCT((MAY!B7:MAY!B35=$B$27)*(MAY!J7:MAY!J35=$P$27)*(MAY!D7:MAY!D35))</f>
        <v>#VALUE!</v>
      </c>
      <c r="E27" s="26">
        <v>0</v>
      </c>
      <c r="F27" s="26">
        <v>0</v>
      </c>
      <c r="G27" s="26">
        <v>10.8</v>
      </c>
      <c r="H27" s="26">
        <v>0</v>
      </c>
      <c r="I27" s="26" t="e">
        <f>$D$27*$E$27</f>
        <v>#VALUE!</v>
      </c>
      <c r="J27" s="26" t="e">
        <f>$D$27*$F$27</f>
        <v>#VALUE!</v>
      </c>
      <c r="K27" s="26" t="e">
        <f>$D$27*$G$27</f>
        <v>#VALUE!</v>
      </c>
      <c r="L27" s="26" t="e">
        <f>$D$27*$H$27</f>
        <v>#VALUE!</v>
      </c>
      <c r="M27" s="37">
        <v>134780</v>
      </c>
      <c r="N27" s="37">
        <f>$E$27*($F$41-$B$41)*(1+$C$45)+$F$27*($G$41-$C$41)*(1+$D$45)+$G$27*($H$41-$D$41)*(1+$E$45)+$H$27*($I$41-$E$41)*(1+$F$45)</f>
        <v>11556</v>
      </c>
      <c r="O27" s="23"/>
      <c r="P27" s="3" t="s">
        <v>210</v>
      </c>
    </row>
    <row r="28" spans="1:16" ht="15.75">
      <c r="A28" s="23">
        <v>21</v>
      </c>
      <c r="B28" s="60" t="s">
        <v>211</v>
      </c>
      <c r="C28" s="59" t="s">
        <v>171</v>
      </c>
      <c r="D28" s="25" t="e">
        <f ca="1">SUMPRODUCT((MAY!B7:MAY!B35=$B$28)*(MAY!J7:MAY!J35=$P$28)*(MAY!D7:MAY!D35))</f>
        <v>#VALUE!</v>
      </c>
      <c r="E28" s="26">
        <v>46.2</v>
      </c>
      <c r="F28" s="26">
        <v>0</v>
      </c>
      <c r="G28" s="26">
        <v>0</v>
      </c>
      <c r="H28" s="26">
        <v>0</v>
      </c>
      <c r="I28" s="26" t="e">
        <f>$D$28*$E$28</f>
        <v>#VALUE!</v>
      </c>
      <c r="J28" s="26" t="e">
        <f>$D$28*$F$28</f>
        <v>#VALUE!</v>
      </c>
      <c r="K28" s="26" t="e">
        <f>$D$28*$G$28</f>
        <v>#VALUE!</v>
      </c>
      <c r="L28" s="26" t="e">
        <f>$D$28*$H$28</f>
        <v>#VALUE!</v>
      </c>
      <c r="M28" s="37">
        <v>937087</v>
      </c>
      <c r="N28" s="37">
        <f>$E$28*($F$41-$B$41)*(1+$C$45)+$F$28*($G$41-$C$41)*(1+$D$45)+$G$28*($H$41-$D$41)*(1+$E$45)+$H$28*($I$41-$E$41)*(1+$F$45)</f>
        <v>475980</v>
      </c>
      <c r="O28" s="23"/>
      <c r="P28" s="3" t="s">
        <v>212</v>
      </c>
    </row>
    <row r="29" spans="1:16" ht="15.75">
      <c r="A29" s="23">
        <v>22</v>
      </c>
      <c r="B29" s="60" t="s">
        <v>213</v>
      </c>
      <c r="C29" s="59" t="s">
        <v>171</v>
      </c>
      <c r="D29" s="25" t="e">
        <f ca="1">SUMPRODUCT((MAY!B7:MAY!B35=$B$29)*(MAY!J7:MAY!J35=$P$29)*(MAY!D7:MAY!D35))</f>
        <v>#VALUE!</v>
      </c>
      <c r="E29" s="26">
        <v>58.8</v>
      </c>
      <c r="F29" s="26">
        <v>0</v>
      </c>
      <c r="G29" s="26">
        <v>0</v>
      </c>
      <c r="H29" s="26">
        <v>0</v>
      </c>
      <c r="I29" s="26" t="e">
        <f>$D$29*$E$29</f>
        <v>#VALUE!</v>
      </c>
      <c r="J29" s="26" t="e">
        <f>$D$29*$F$29</f>
        <v>#VALUE!</v>
      </c>
      <c r="K29" s="26" t="e">
        <f>$D$29*$G$29</f>
        <v>#VALUE!</v>
      </c>
      <c r="L29" s="26" t="e">
        <f>$D$29*$H$29</f>
        <v>#VALUE!</v>
      </c>
      <c r="M29" s="37">
        <v>1212215</v>
      </c>
      <c r="N29" s="37">
        <f>$E$29*($F$41-$B$41)*(1+$C$45)+$F$29*($G$41-$C$41)*(1+$D$45)+$G$29*($H$41-$D$41)*(1+$E$45)+$H$29*($I$41-$E$41)*(1+$F$45)</f>
        <v>605793</v>
      </c>
      <c r="O29" s="23"/>
      <c r="P29" s="3" t="s">
        <v>214</v>
      </c>
    </row>
    <row r="30" spans="1:16" ht="15.75">
      <c r="A30" s="23">
        <v>23</v>
      </c>
      <c r="B30" s="60" t="s">
        <v>215</v>
      </c>
      <c r="C30" s="59" t="s">
        <v>171</v>
      </c>
      <c r="D30" s="25" t="e">
        <f ca="1">SUMPRODUCT((MAY!B7:MAY!B35=$B$30)*(MAY!J7:MAY!J35=$P$30)*(MAY!D7:MAY!D35))</f>
        <v>#VALUE!</v>
      </c>
      <c r="E30" s="26">
        <v>0</v>
      </c>
      <c r="F30" s="26">
        <v>13</v>
      </c>
      <c r="G30" s="26">
        <v>0</v>
      </c>
      <c r="H30" s="26">
        <v>0</v>
      </c>
      <c r="I30" s="26" t="e">
        <f>$D$30*$E$30</f>
        <v>#VALUE!</v>
      </c>
      <c r="J30" s="26" t="e">
        <f>$D$30*$F$30</f>
        <v>#VALUE!</v>
      </c>
      <c r="K30" s="26" t="e">
        <f>$D$30*$G$30</f>
        <v>#VALUE!</v>
      </c>
      <c r="L30" s="26" t="e">
        <f>$D$30*$H$30</f>
        <v>#VALUE!</v>
      </c>
      <c r="M30" s="37">
        <v>253486</v>
      </c>
      <c r="N30" s="37">
        <f>$E$30*($F$41-$B$41)*(1+$C$45)+$F$30*($G$41-$C$41)*(1+$D$45)+$G$30*($H$41-$D$41)*(1+$E$45)+$H$30*($I$41-$E$41)*(1+$F$45)</f>
        <v>127660</v>
      </c>
      <c r="O30" s="23"/>
      <c r="P30" s="3" t="s">
        <v>216</v>
      </c>
    </row>
    <row r="31" spans="1:16" ht="15.75">
      <c r="A31" s="23">
        <v>24</v>
      </c>
      <c r="B31" s="60" t="s">
        <v>217</v>
      </c>
      <c r="C31" s="59" t="s">
        <v>171</v>
      </c>
      <c r="D31" s="25" t="e">
        <f ca="1">SUMPRODUCT((MAY!B7:MAY!B35=$B$31)*(MAY!J7:MAY!J35=$P$31)*(MAY!D7:MAY!D35))</f>
        <v>#VALUE!</v>
      </c>
      <c r="E31" s="26">
        <v>31</v>
      </c>
      <c r="F31" s="26">
        <v>0</v>
      </c>
      <c r="G31" s="26">
        <v>0</v>
      </c>
      <c r="H31" s="26">
        <v>0</v>
      </c>
      <c r="I31" s="26" t="e">
        <f>$D$31*$E$31</f>
        <v>#VALUE!</v>
      </c>
      <c r="J31" s="26" t="e">
        <f>$D$31*$F$31</f>
        <v>#VALUE!</v>
      </c>
      <c r="K31" s="26" t="e">
        <f>$D$31*$G$31</f>
        <v>#VALUE!</v>
      </c>
      <c r="L31" s="26" t="e">
        <f>$D$31*$H$31</f>
        <v>#VALUE!</v>
      </c>
      <c r="M31" s="37">
        <v>491554</v>
      </c>
      <c r="N31" s="37">
        <f>$E$31*($F$41-$B$41)*(1+$C$45)+$F$31*($G$41-$C$41)*(1+$D$45)+$G$31*($H$41-$D$41)*(1+$E$45)+$H$31*($I$41-$E$41)*(1+$F$45)</f>
        <v>319381</v>
      </c>
      <c r="O31" s="23"/>
      <c r="P31" s="3" t="s">
        <v>218</v>
      </c>
    </row>
    <row r="32" spans="1:16" ht="15.75">
      <c r="A32" s="23">
        <v>25</v>
      </c>
      <c r="B32" s="60" t="s">
        <v>219</v>
      </c>
      <c r="C32" s="59" t="s">
        <v>171</v>
      </c>
      <c r="D32" s="25" t="e">
        <f ca="1">SUMPRODUCT((MAY!B7:MAY!B35=$B$32)*(MAY!J7:MAY!J35=$P$32)*(MAY!D7:MAY!D35))</f>
        <v>#VALUE!</v>
      </c>
      <c r="E32" s="26">
        <v>56.7</v>
      </c>
      <c r="F32" s="26">
        <v>0</v>
      </c>
      <c r="G32" s="26">
        <v>0</v>
      </c>
      <c r="H32" s="26">
        <v>0</v>
      </c>
      <c r="I32" s="26" t="e">
        <f>$D$32*$E$32</f>
        <v>#VALUE!</v>
      </c>
      <c r="J32" s="26" t="e">
        <f>$D$32*$F$32</f>
        <v>#VALUE!</v>
      </c>
      <c r="K32" s="26" t="e">
        <f>$D$32*$G$32</f>
        <v>#VALUE!</v>
      </c>
      <c r="L32" s="26" t="e">
        <f>$D$32*$H$32</f>
        <v>#VALUE!</v>
      </c>
      <c r="M32" s="37">
        <v>736036</v>
      </c>
      <c r="N32" s="37">
        <f>$E$32*($F$41-$B$41)*(1+$C$45)+$F$32*($G$41-$C$41)*(1+$D$45)+$G$32*($H$41-$D$41)*(1+$E$45)+$H$32*($I$41-$E$41)*(1+$F$45)</f>
        <v>584157</v>
      </c>
      <c r="O32" s="23"/>
      <c r="P32" s="3" t="s">
        <v>220</v>
      </c>
    </row>
    <row r="33" spans="1:16" ht="31.5">
      <c r="A33" s="23">
        <v>26</v>
      </c>
      <c r="B33" s="60" t="s">
        <v>221</v>
      </c>
      <c r="C33" s="59" t="s">
        <v>171</v>
      </c>
      <c r="D33" s="25" t="e">
        <f ca="1">SUMPRODUCT((MAY!B7:MAY!B35=$B$33)*(MAY!J7:MAY!J35=$P$33)*(MAY!D7:MAY!D35))</f>
        <v>#VALUE!</v>
      </c>
      <c r="E33" s="26">
        <v>57</v>
      </c>
      <c r="F33" s="26">
        <v>0</v>
      </c>
      <c r="G33" s="26">
        <v>0</v>
      </c>
      <c r="H33" s="26">
        <v>0</v>
      </c>
      <c r="I33" s="26" t="e">
        <f>$D$33*$E$33</f>
        <v>#VALUE!</v>
      </c>
      <c r="J33" s="26" t="e">
        <f>$D$33*$F$33</f>
        <v>#VALUE!</v>
      </c>
      <c r="K33" s="26" t="e">
        <f>$D$33*$G$33</f>
        <v>#VALUE!</v>
      </c>
      <c r="L33" s="26" t="e">
        <f>$D$33*$H$33</f>
        <v>#VALUE!</v>
      </c>
      <c r="M33" s="37">
        <v>1203284</v>
      </c>
      <c r="N33" s="37">
        <f>$E$33*($F$41-$B$41)*(1+$C$45)+$F$33*($G$41-$C$41)*(1+$D$45)+$G$33*($H$41-$D$41)*(1+$E$45)+$H$33*($I$41-$E$41)*(1+$F$45)</f>
        <v>587248</v>
      </c>
      <c r="O33" s="23"/>
      <c r="P33" s="3" t="s">
        <v>222</v>
      </c>
    </row>
    <row r="34" spans="1:16" ht="15.75">
      <c r="A34" s="23">
        <v>27</v>
      </c>
      <c r="B34" s="60" t="s">
        <v>223</v>
      </c>
      <c r="C34" s="59" t="s">
        <v>171</v>
      </c>
      <c r="D34" s="25" t="e">
        <f ca="1">SUMPRODUCT((MAY!B7:MAY!B35=$B$34)*(MAY!J7:MAY!J35=$P$34)*(MAY!D7:MAY!D35))</f>
        <v>#VALUE!</v>
      </c>
      <c r="E34" s="26">
        <v>22.5</v>
      </c>
      <c r="F34" s="26">
        <v>0</v>
      </c>
      <c r="G34" s="26">
        <v>0</v>
      </c>
      <c r="H34" s="26">
        <v>0</v>
      </c>
      <c r="I34" s="26" t="e">
        <f>$D$34*$E$34</f>
        <v>#VALUE!</v>
      </c>
      <c r="J34" s="26" t="e">
        <f>$D$34*$F$34</f>
        <v>#VALUE!</v>
      </c>
      <c r="K34" s="26" t="e">
        <f>$D$34*$G$34</f>
        <v>#VALUE!</v>
      </c>
      <c r="L34" s="26" t="e">
        <f>$D$34*$H$34</f>
        <v>#VALUE!</v>
      </c>
      <c r="M34" s="37">
        <v>480272</v>
      </c>
      <c r="N34" s="37">
        <f>$E$34*($F$41-$B$41)*(1+$C$45)+$F$34*($G$41-$C$41)*(1+$D$45)+$G$34*($H$41-$D$41)*(1+$E$45)+$H$34*($I$41-$E$41)*(1+$F$45)</f>
        <v>231809</v>
      </c>
      <c r="O34" s="23"/>
      <c r="P34" s="3" t="s">
        <v>224</v>
      </c>
    </row>
    <row r="35" spans="1:16" ht="15.75">
      <c r="A35" s="23">
        <v>28</v>
      </c>
      <c r="B35" s="60" t="s">
        <v>225</v>
      </c>
      <c r="C35" s="59" t="s">
        <v>171</v>
      </c>
      <c r="D35" s="25" t="e">
        <f ca="1">SUMPRODUCT((MAY!B7:MAY!B35=$B$35)*(MAY!J7:MAY!J35=$P$35)*(MAY!D7:MAY!D35))</f>
        <v>#VALUE!</v>
      </c>
      <c r="E35" s="26">
        <v>0</v>
      </c>
      <c r="F35" s="26">
        <v>0</v>
      </c>
      <c r="G35" s="26">
        <v>0</v>
      </c>
      <c r="H35" s="26">
        <v>0</v>
      </c>
      <c r="I35" s="26" t="e">
        <f>$D$35*$E$35</f>
        <v>#VALUE!</v>
      </c>
      <c r="J35" s="26" t="e">
        <f>$D$35*$F$35</f>
        <v>#VALUE!</v>
      </c>
      <c r="K35" s="26" t="e">
        <f>$D$35*$G$35</f>
        <v>#VALUE!</v>
      </c>
      <c r="L35" s="26" t="e">
        <f>$D$35*$H$35</f>
        <v>#VALUE!</v>
      </c>
      <c r="M35" s="37">
        <v>51301</v>
      </c>
      <c r="N35" s="37">
        <f>$E$35*($F$41-$B$41)*(1+$C$45)+$F$35*($G$41-$C$41)*(1+$D$45)+$G$35*($H$41-$D$41)*(1+$E$45)+$H$35*($I$41-$E$41)*(1+$F$45)</f>
        <v>0</v>
      </c>
      <c r="O35" s="23"/>
      <c r="P35" s="3" t="s">
        <v>226</v>
      </c>
    </row>
    <row r="36" spans="1:16" ht="15.75">
      <c r="A36" s="27">
        <v>29</v>
      </c>
      <c r="B36" s="62" t="s">
        <v>227</v>
      </c>
      <c r="C36" s="63" t="s">
        <v>171</v>
      </c>
      <c r="D36" s="29" t="e">
        <f ca="1">SUMPRODUCT((MAY!B7:MAY!B35=$B$36)*(MAY!J7:MAY!J35=$P$36)*(MAY!D7:MAY!D35))</f>
        <v>#VALUE!</v>
      </c>
      <c r="E36" s="30">
        <v>0</v>
      </c>
      <c r="F36" s="30">
        <v>0</v>
      </c>
      <c r="G36" s="30">
        <v>0</v>
      </c>
      <c r="H36" s="30">
        <v>0</v>
      </c>
      <c r="I36" s="30" t="e">
        <f>$D$36*$E$36</f>
        <v>#VALUE!</v>
      </c>
      <c r="J36" s="30" t="e">
        <f>$D$36*$F$36</f>
        <v>#VALUE!</v>
      </c>
      <c r="K36" s="30" t="e">
        <f>$D$36*$G$36</f>
        <v>#VALUE!</v>
      </c>
      <c r="L36" s="30" t="e">
        <f>$D$36*$H$36</f>
        <v>#VALUE!</v>
      </c>
      <c r="M36" s="38">
        <v>100882</v>
      </c>
      <c r="N36" s="38">
        <f>$E$36*($F$41-$B$41)*(1+$C$45)+$F$36*($G$41-$C$41)*(1+$D$45)+$G$36*($H$41-$D$41)*(1+$E$45)+$H$36*($I$41-$E$41)*(1+$F$45)</f>
        <v>0</v>
      </c>
      <c r="O36" s="27"/>
      <c r="P36" s="3" t="s">
        <v>228</v>
      </c>
    </row>
    <row r="38" spans="1:13" ht="15.75">
      <c r="A38" s="2"/>
      <c r="B38" s="76" t="s">
        <v>165</v>
      </c>
      <c r="C38" s="76"/>
      <c r="D38" s="76"/>
      <c r="E38" s="76"/>
      <c r="F38" s="76" t="str">
        <f>" Giá T"&amp;Info!B39&amp;"/"&amp;Info!B40</f>
        <v> Giá T1/2015</v>
      </c>
      <c r="G38" s="76"/>
      <c r="H38" s="76"/>
      <c r="I38" s="76"/>
      <c r="J38" s="76" t="s">
        <v>243</v>
      </c>
      <c r="K38" s="76"/>
      <c r="L38" s="76"/>
      <c r="M38" s="76"/>
    </row>
    <row r="39" spans="1:13" ht="15.75">
      <c r="A39" s="2"/>
      <c r="B39" s="31" t="s">
        <v>235</v>
      </c>
      <c r="C39" s="31" t="s">
        <v>236</v>
      </c>
      <c r="D39" s="31" t="s">
        <v>237</v>
      </c>
      <c r="E39" s="31" t="s">
        <v>238</v>
      </c>
      <c r="F39" s="31" t="s">
        <v>235</v>
      </c>
      <c r="G39" s="31" t="s">
        <v>236</v>
      </c>
      <c r="H39" s="31" t="s">
        <v>237</v>
      </c>
      <c r="I39" s="31" t="s">
        <v>238</v>
      </c>
      <c r="J39" s="31" t="s">
        <v>235</v>
      </c>
      <c r="K39" s="31" t="s">
        <v>236</v>
      </c>
      <c r="L39" s="31" t="s">
        <v>237</v>
      </c>
      <c r="M39" s="31" t="s">
        <v>238</v>
      </c>
    </row>
    <row r="40" spans="1:13" ht="15.75">
      <c r="A40" s="2"/>
      <c r="B40" s="32" t="s">
        <v>244</v>
      </c>
      <c r="C40" s="32" t="s">
        <v>244</v>
      </c>
      <c r="D40" s="32" t="s">
        <v>244</v>
      </c>
      <c r="E40" s="32" t="s">
        <v>245</v>
      </c>
      <c r="F40" s="32" t="s">
        <v>244</v>
      </c>
      <c r="G40" s="32" t="s">
        <v>244</v>
      </c>
      <c r="H40" s="32" t="s">
        <v>244</v>
      </c>
      <c r="I40" s="32" t="s">
        <v>245</v>
      </c>
      <c r="J40" s="32" t="s">
        <v>244</v>
      </c>
      <c r="K40" s="32" t="s">
        <v>244</v>
      </c>
      <c r="L40" s="32" t="s">
        <v>244</v>
      </c>
      <c r="M40" s="32" t="s">
        <v>245</v>
      </c>
    </row>
    <row r="41" spans="2:13" ht="15.75">
      <c r="B41" s="33">
        <v>6818</v>
      </c>
      <c r="C41" s="33">
        <v>8636</v>
      </c>
      <c r="D41" s="33">
        <v>1000</v>
      </c>
      <c r="E41" s="33">
        <v>4113</v>
      </c>
      <c r="F41" s="33">
        <v>16630</v>
      </c>
      <c r="G41" s="33">
        <v>18170</v>
      </c>
      <c r="H41" s="33">
        <v>2000</v>
      </c>
      <c r="I41" s="33">
        <v>13560</v>
      </c>
      <c r="J41" s="33">
        <f>$F$41-$B$41</f>
        <v>9812</v>
      </c>
      <c r="K41" s="33">
        <f>$G$41-$C$41</f>
        <v>9534</v>
      </c>
      <c r="L41" s="33">
        <f>$H$41-$D$41</f>
        <v>1000</v>
      </c>
      <c r="M41" s="33">
        <f>$I$41-$E$41</f>
        <v>9447</v>
      </c>
    </row>
    <row r="43" spans="3:8" ht="15.75">
      <c r="C43" s="76" t="s">
        <v>243</v>
      </c>
      <c r="D43" s="76"/>
      <c r="E43" s="76"/>
      <c r="F43" s="77"/>
      <c r="G43" s="77" t="s">
        <v>246</v>
      </c>
      <c r="H43" s="77"/>
    </row>
    <row r="44" spans="3:8" ht="15.75">
      <c r="C44" s="5" t="s">
        <v>235</v>
      </c>
      <c r="D44" s="5" t="s">
        <v>236</v>
      </c>
      <c r="E44" s="5" t="s">
        <v>237</v>
      </c>
      <c r="F44" s="34" t="s">
        <v>238</v>
      </c>
      <c r="G44" s="77"/>
      <c r="H44" s="77"/>
    </row>
    <row r="45" spans="3:8" ht="15.75">
      <c r="C45" s="35">
        <v>0.05</v>
      </c>
      <c r="D45" s="35">
        <v>0.03</v>
      </c>
      <c r="E45" s="35">
        <v>0.07</v>
      </c>
      <c r="F45" s="35">
        <v>0</v>
      </c>
      <c r="G45" s="78">
        <v>1</v>
      </c>
      <c r="H45" s="78"/>
    </row>
  </sheetData>
  <sheetProtection/>
  <mergeCells count="18">
    <mergeCell ref="O5:O6"/>
    <mergeCell ref="G43:H44"/>
    <mergeCell ref="C43:F43"/>
    <mergeCell ref="G45:H45"/>
    <mergeCell ref="A5:A6"/>
    <mergeCell ref="B5:B6"/>
    <mergeCell ref="C5:C6"/>
    <mergeCell ref="D5:D6"/>
    <mergeCell ref="A1:O1"/>
    <mergeCell ref="A2:O2"/>
    <mergeCell ref="A3:O3"/>
    <mergeCell ref="E5:H5"/>
    <mergeCell ref="I5:L5"/>
    <mergeCell ref="B38:E38"/>
    <mergeCell ref="F38:I38"/>
    <mergeCell ref="J38:M38"/>
    <mergeCell ref="M5:M6"/>
    <mergeCell ref="N5:N6"/>
  </mergeCells>
  <printOptions horizontalCentered="1"/>
  <pageMargins left="0" right="0" top="0.4" bottom="0.5" header="0.5" footer="0.25"/>
  <pageSetup horizontalDpi="300" verticalDpi="300" orientation="landscape" paperSize="9" r:id="rId1"/>
  <headerFooter alignWithMargins="0">
    <oddFooter>&amp;R&amp;"Times New Roman"&amp;10 Trang &amp;P / &amp;N    *    tên công trình: xây dựng hạ tầng khu nhà ở thanh niên - hạng mục: đường bờ tây (đoạn nối từ cầu giáp quạ đến cuối tuyến)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Vunt - 0918 224540</Manager>
  <Company>Quyet toan Co., * Tel: (08)6 2702271 * Fax: (08)3 9691504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 SO DU THAU</dc:title>
  <dc:subject>ADTPro Version 6.9.68 (2011)</dc:subject>
  <dc:creator>bieumauxaydung.com</dc:creator>
  <cp:keywords>Du toan, Du thau, ADTPro</cp:keywords>
  <dc:description>bieumauxaydung.com;</dc:description>
  <cp:lastModifiedBy>User</cp:lastModifiedBy>
  <cp:lastPrinted>2016-10-12T15:26:00Z</cp:lastPrinted>
  <dcterms:created xsi:type="dcterms:W3CDTF">2004-11-26T06:40:00Z</dcterms:created>
  <dcterms:modified xsi:type="dcterms:W3CDTF">2019-08-29T06:53:41Z</dcterms:modified>
  <cp:category>bieumauxaydung.com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rConn">
    <vt:lpwstr>D:\ADTPro 6.9.68\Adtpro.dll</vt:lpwstr>
  </property>
  <property fmtid="{D5CDD505-2E9C-101B-9397-08002B2CF9AE}" pid="3" name="Where">
    <vt:lpwstr>0</vt:lpwstr>
  </property>
  <property fmtid="{D5CDD505-2E9C-101B-9397-08002B2CF9AE}" pid="4" name="Where1">
    <vt:lpwstr>CT030</vt:lpwstr>
  </property>
  <property fmtid="{D5CDD505-2E9C-101B-9397-08002B2CF9AE}" pid="5" name="Where2">
    <vt:lpwstr>XÂY DỰNG HẠ TẦNG KHU NHÀ Ở THANH NIÊN</vt:lpwstr>
  </property>
  <property fmtid="{D5CDD505-2E9C-101B-9397-08002B2CF9AE}" pid="6" name="Where4">
    <vt:lpwstr/>
  </property>
  <property fmtid="{D5CDD505-2E9C-101B-9397-08002B2CF9AE}" pid="7" name="Where3">
    <vt:lpwstr>ĐƯỜNG BỜ TÂY (ĐOẠN NỐI TỪ CẦU GIÁP QUẠ ĐẾN CUỐI TUYẾN)</vt:lpwstr>
  </property>
  <property fmtid="{D5CDD505-2E9C-101B-9397-08002B2CF9AE}" pid="8" name="Where5">
    <vt:lpwstr>-1</vt:lpwstr>
  </property>
  <property fmtid="{D5CDD505-2E9C-101B-9397-08002B2CF9AE}" pid="9" name="Where6">
    <vt:lpwstr>2</vt:lpwstr>
  </property>
  <property fmtid="{D5CDD505-2E9C-101B-9397-08002B2CF9AE}" pid="10" name="Where7">
    <vt:lpwstr>3</vt:lpwstr>
  </property>
  <property fmtid="{D5CDD505-2E9C-101B-9397-08002B2CF9AE}" pid="11" name="Where8">
    <vt:lpwstr>-1</vt:lpwstr>
  </property>
  <property fmtid="{D5CDD505-2E9C-101B-9397-08002B2CF9AE}" pid="12" name="Where9">
    <vt:lpwstr>-1</vt:lpwstr>
  </property>
  <property fmtid="{D5CDD505-2E9C-101B-9397-08002B2CF9AE}" pid="13" name="Where10">
    <vt:lpwstr>-1</vt:lpwstr>
  </property>
  <property fmtid="{D5CDD505-2E9C-101B-9397-08002B2CF9AE}" pid="14" name="Where11">
    <vt:lpwstr>-1</vt:lpwstr>
  </property>
  <property fmtid="{D5CDD505-2E9C-101B-9397-08002B2CF9AE}" pid="15" name="Where12">
    <vt:lpwstr>0</vt:lpwstr>
  </property>
  <property fmtid="{D5CDD505-2E9C-101B-9397-08002B2CF9AE}" pid="16" name="Where13">
    <vt:lpwstr>D:\ADTPro 6.9.68\Report\info.xml</vt:lpwstr>
  </property>
  <property fmtid="{D5CDD505-2E9C-101B-9397-08002B2CF9AE}" pid="17" name="Version">
    <vt:lpwstr>ADTPro Version 6.9.68 (2011)</vt:lpwstr>
  </property>
  <property fmtid="{D5CDD505-2E9C-101B-9397-08002B2CF9AE}" pid="18" name="KSOProductBuildVer">
    <vt:lpwstr>1033-9.1.0.4758</vt:lpwstr>
  </property>
</Properties>
</file>